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构成表" sheetId="3" r:id="rId1"/>
    <sheet name="汇总表" sheetId="1" r:id="rId2"/>
  </sheets>
  <definedNames>
    <definedName name="_xlnm._FilterDatabase" localSheetId="1" hidden="1">汇总表!$A$1:$R$48</definedName>
    <definedName name="_xlnm.Criteria" localSheetId="1">汇总表!#REF!</definedName>
    <definedName name="_xlnm.Print_Area" localSheetId="0">构成表!$B$2:$Q$43</definedName>
  </definedNames>
  <calcPr calcId="144525" concurrentCalc="0"/>
</workbook>
</file>

<file path=xl/sharedStrings.xml><?xml version="1.0" encoding="utf-8"?>
<sst xmlns="http://schemas.openxmlformats.org/spreadsheetml/2006/main" count="651" uniqueCount="257">
  <si>
    <t>驻马店市青年联合会第一届委员会委员构成表</t>
  </si>
  <si>
    <t>指定席位</t>
  </si>
  <si>
    <t>科学技术</t>
  </si>
  <si>
    <t>教育</t>
  </si>
  <si>
    <t>农业</t>
  </si>
  <si>
    <t>社会科学</t>
  </si>
  <si>
    <t>经济</t>
  </si>
  <si>
    <t>金融商务</t>
  </si>
  <si>
    <t>法律</t>
  </si>
  <si>
    <t>文化艺术体育</t>
  </si>
  <si>
    <t>新闻出版和传媒</t>
  </si>
  <si>
    <t>医药卫生</t>
  </si>
  <si>
    <t>社会组织和宗教</t>
  </si>
  <si>
    <t>技能人才</t>
  </si>
  <si>
    <t>总计</t>
  </si>
  <si>
    <t>人数</t>
  </si>
  <si>
    <t>占比</t>
  </si>
  <si>
    <t>平均年龄</t>
  </si>
  <si>
    <t>中共党员</t>
  </si>
  <si>
    <t>女委员</t>
  </si>
  <si>
    <t>知识分子</t>
  </si>
  <si>
    <t>少数民族</t>
  </si>
  <si>
    <t>一线劳动者</t>
  </si>
  <si>
    <t>党政干部</t>
  </si>
  <si>
    <t>企业负责人</t>
  </si>
  <si>
    <t>本科以上学历</t>
  </si>
  <si>
    <t>主席、
副主席</t>
  </si>
  <si>
    <t>驻马店地区少数民族人口占比</t>
  </si>
  <si>
    <t>人口总数</t>
  </si>
  <si>
    <t>少数民族数量</t>
  </si>
  <si>
    <t>少数民族占比</t>
  </si>
  <si>
    <t>常委</t>
  </si>
  <si>
    <t>委员</t>
  </si>
  <si>
    <r>
      <rPr>
        <b/>
        <sz val="18"/>
        <color theme="1"/>
        <rFont val="Arial"/>
        <charset val="134"/>
      </rPr>
      <t>↑</t>
    </r>
    <r>
      <rPr>
        <b/>
        <sz val="12"/>
        <color theme="1"/>
        <rFont val="Arial"/>
        <charset val="134"/>
      </rPr>
      <t xml:space="preserve">
</t>
    </r>
    <r>
      <rPr>
        <b/>
        <sz val="9"/>
        <color theme="1"/>
        <rFont val="宋体"/>
        <charset val="134"/>
        <scheme val="minor"/>
      </rPr>
      <t>增补后符合性检验</t>
    </r>
  </si>
  <si>
    <t>拟增补委员数量计算</t>
  </si>
  <si>
    <t>副主席</t>
  </si>
  <si>
    <t>增补上限</t>
  </si>
  <si>
    <t>计划增补</t>
  </si>
  <si>
    <t>1、</t>
  </si>
  <si>
    <t>常务委员会的人数为委员会规模的15%至20%；</t>
  </si>
  <si>
    <t>增补后，委员总数不得超过本届换届期初委员总数的120%；</t>
  </si>
  <si>
    <t>2、</t>
  </si>
  <si>
    <t>主席、副主席的总人数不超过常务委员会规模的20%；</t>
  </si>
  <si>
    <t>增补常务会委员数量不超过本届换届期初常务委员会委员总数的10%；</t>
  </si>
  <si>
    <t>3、</t>
  </si>
  <si>
    <t>企业负责人的委员的比例应当不超过20%，社会名人的比例应当控制；</t>
  </si>
  <si>
    <t>青联换届时委员平均年龄掌握在33周岁左右（±1岁）；</t>
  </si>
  <si>
    <t>4、</t>
  </si>
  <si>
    <t>一线劳动者中的委员的比例应当不低于10%；</t>
  </si>
  <si>
    <t>新出任委员年龄小于40周岁，连任委员年龄小于45周岁。</t>
  </si>
  <si>
    <t>5、</t>
  </si>
  <si>
    <t>来自党政干部的委员的比例应当不超过5%；</t>
  </si>
  <si>
    <t>6、</t>
  </si>
  <si>
    <t>知识分子的委员合计应当不低于20%；</t>
  </si>
  <si>
    <t>7、</t>
  </si>
  <si>
    <t>委员会中女委员的比例应当不低于20%；</t>
  </si>
  <si>
    <t>8、</t>
  </si>
  <si>
    <t>少数民族委员的比例应当高于本地区人口中少数民族人口所占比例；</t>
  </si>
  <si>
    <t>9、</t>
  </si>
  <si>
    <t>青联委员会中中共党员的比例原则上不超过55%。</t>
  </si>
  <si>
    <t>驻马店市青年联合会一届委员会委员汇总表</t>
  </si>
  <si>
    <t>序号</t>
  </si>
  <si>
    <t>提名单位</t>
  </si>
  <si>
    <t>编号</t>
  </si>
  <si>
    <t>姓名</t>
  </si>
  <si>
    <t>性别</t>
  </si>
  <si>
    <t>出生年月</t>
  </si>
  <si>
    <t>年龄</t>
  </si>
  <si>
    <t>籍贯</t>
  </si>
  <si>
    <t>民族</t>
  </si>
  <si>
    <t>政治面貌</t>
  </si>
  <si>
    <t>学历</t>
  </si>
  <si>
    <t>工作单位及职务</t>
  </si>
  <si>
    <t>专业技术职称</t>
  </si>
  <si>
    <t>职级</t>
  </si>
  <si>
    <t>界别</t>
  </si>
  <si>
    <t>主要社会职务</t>
  </si>
  <si>
    <t>重要奖项及荣誉</t>
  </si>
  <si>
    <t>孙岑</t>
  </si>
  <si>
    <t>男</t>
  </si>
  <si>
    <t>河南省汝南县</t>
  </si>
  <si>
    <t>汉</t>
  </si>
  <si>
    <t>研究生</t>
  </si>
  <si>
    <t>共青团驻马店市委副书记(挂职)</t>
  </si>
  <si>
    <t>无</t>
  </si>
  <si>
    <t>正科级</t>
  </si>
  <si>
    <t>市招商引资工作先进个人</t>
  </si>
  <si>
    <t>翟剑明</t>
  </si>
  <si>
    <t>河南省上蔡县</t>
  </si>
  <si>
    <t>大学本科</t>
  </si>
  <si>
    <t>共青团上蔡县委书记</t>
  </si>
  <si>
    <t>陈琳</t>
  </si>
  <si>
    <t>女</t>
  </si>
  <si>
    <t>河南省平舆县</t>
  </si>
  <si>
    <t>平舆县妇幼保健院院长助理</t>
  </si>
  <si>
    <t>主管护师</t>
  </si>
  <si>
    <t>专技（卫生）</t>
  </si>
  <si>
    <t>河南省妇幼健康服务工作先进个人、市五一劳动奖章</t>
  </si>
  <si>
    <t>陈迎春</t>
  </si>
  <si>
    <t>大专</t>
  </si>
  <si>
    <t>河南省上元惠农农业科技有限公司总经理</t>
  </si>
  <si>
    <t>电子商务师</t>
  </si>
  <si>
    <t>平舆县热心公益事业先进个人</t>
  </si>
  <si>
    <t>刘向辉</t>
  </si>
  <si>
    <t>河南省西平县</t>
  </si>
  <si>
    <t>群众</t>
  </si>
  <si>
    <t>河南豫坡酒业有限公司评酒师</t>
  </si>
  <si>
    <t>河南省白酒业协会评酒委员</t>
  </si>
  <si>
    <t>西平县五一劳动奖章、西平县第十批专业技术拔尖人才</t>
  </si>
  <si>
    <t>胡天理</t>
  </si>
  <si>
    <t>河南省泌阳县</t>
  </si>
  <si>
    <t>驻马店经济开发区金山社区卫生服务中心主任</t>
  </si>
  <si>
    <t>医师</t>
  </si>
  <si>
    <t>2017年度“驻马店好人”</t>
  </si>
  <si>
    <t>林金丽</t>
  </si>
  <si>
    <t>河南省新蔡县</t>
  </si>
  <si>
    <t>新蔡县水韵天街伊丽奇舞蹈学校校长</t>
  </si>
  <si>
    <t>专技（教育）</t>
  </si>
  <si>
    <t>时想</t>
  </si>
  <si>
    <t>新蔡县李桥回族镇狮子口小学教师</t>
  </si>
  <si>
    <t>中小学二级教师</t>
  </si>
  <si>
    <t>河南省优秀教师 、“2017马云乡村教师奖”、马云公益基金会第九届河南省最具成长力教师</t>
  </si>
  <si>
    <t>刘亚飞</t>
  </si>
  <si>
    <t>新蔡县农得利农民专业种植合作社理事长</t>
  </si>
  <si>
    <t>张洪海</t>
  </si>
  <si>
    <t>共青团员</t>
  </si>
  <si>
    <t>新蔡县志愿者协会副会长（自由职业者）</t>
  </si>
  <si>
    <t>社会组织人员</t>
  </si>
  <si>
    <t>新蔡县青年志愿者协会副会长</t>
  </si>
  <si>
    <t>新蔡县“优秀青年志愿者”、全国大学生预防艾滋病知识竞赛“二等奖”</t>
  </si>
  <si>
    <t>李蒙</t>
  </si>
  <si>
    <t>高中</t>
  </si>
  <si>
    <t>泌阳微帮广告传媒有限公司总经理</t>
  </si>
  <si>
    <t>驻马店市文明标兵</t>
  </si>
  <si>
    <t>刘明一</t>
  </si>
  <si>
    <t>泌阳县广播电视台编辑</t>
  </si>
  <si>
    <t>助理编辑</t>
  </si>
  <si>
    <t>专技（新闻出版）</t>
  </si>
  <si>
    <t>泌阳县十大杰出青年、驻马店市脱贫攻坚工作先进个人、河南省脱贫之星</t>
  </si>
  <si>
    <t>王储君</t>
  </si>
  <si>
    <t>共青团泌阳县委书记</t>
  </si>
  <si>
    <t>陈强</t>
  </si>
  <si>
    <t>河南省确山县</t>
  </si>
  <si>
    <t>确山县冠龙建材有限公司董事长</t>
  </si>
  <si>
    <t>确山县工商联副主席</t>
  </si>
  <si>
    <t>吴帆</t>
  </si>
  <si>
    <t>河南省驻马店市</t>
  </si>
  <si>
    <t>天方药业有限公司设备管理员</t>
  </si>
  <si>
    <t>助理工程师</t>
  </si>
  <si>
    <t>驻马店市五一劳动奖章</t>
  </si>
  <si>
    <t>徐来成</t>
  </si>
  <si>
    <t>解放军联勤保障部队第990医院介入导管室主治医师</t>
  </si>
  <si>
    <t>主治医师</t>
  </si>
  <si>
    <t>院先进工作者、优秀共产党员</t>
  </si>
  <si>
    <t>苌占彬</t>
  </si>
  <si>
    <t>河南省安阳市</t>
  </si>
  <si>
    <t>华能河南中原燃气发电有限公司运维部值班员</t>
  </si>
  <si>
    <t>第三届河南省重型燃机集控运行职工技能竞赛第一名</t>
  </si>
  <si>
    <t>柳源</t>
  </si>
  <si>
    <t>确山竹沟革命纪念馆讲解员</t>
  </si>
  <si>
    <t>2016年市四届导游大赛讲解组二等奖、2017年确山县五一劳动奖章</t>
  </si>
  <si>
    <t>王贤</t>
  </si>
  <si>
    <t>河南省亿诺文化传媒有限公司总经理</t>
  </si>
  <si>
    <t>编辑</t>
  </si>
  <si>
    <t>驻马店市企业家协会理事</t>
  </si>
  <si>
    <t>逄锦山</t>
  </si>
  <si>
    <t>山东省</t>
  </si>
  <si>
    <t>驻马店幼儿师范高等专科学校教师</t>
  </si>
  <si>
    <t>讲师</t>
  </si>
  <si>
    <t>专技（文化艺术）</t>
  </si>
  <si>
    <t>驻马店合唱协会副主席</t>
  </si>
  <si>
    <t>驻马店市文明教师、第九届全国中等职业学校学生文明风采大赛优秀辅导奖</t>
  </si>
  <si>
    <t>刘娜</t>
  </si>
  <si>
    <t>河南省息县</t>
  </si>
  <si>
    <t>汝南县舞蹈家协会理事</t>
  </si>
  <si>
    <t>省优质课比赛一等奖</t>
  </si>
  <si>
    <t>刘泉</t>
  </si>
  <si>
    <t>驻马店市兵舞堂文化传播有限公司总经理</t>
  </si>
  <si>
    <t>驻马店市街舞联盟常务副主任</t>
  </si>
  <si>
    <t>彭其森</t>
  </si>
  <si>
    <t>陕西省</t>
  </si>
  <si>
    <t>驻马店广播电视台播音主持人</t>
  </si>
  <si>
    <t>河南省电影电视家协会会员</t>
  </si>
  <si>
    <t>市优秀新闻工作者</t>
  </si>
  <si>
    <t>王珂</t>
  </si>
  <si>
    <t>驻马店广播电视台播音员</t>
  </si>
  <si>
    <t>一级播音员</t>
  </si>
  <si>
    <t>市优秀讲解员、市优秀新闻工作者</t>
  </si>
  <si>
    <t>李敏</t>
  </si>
  <si>
    <t>驻马店市平舆县</t>
  </si>
  <si>
    <t>河南来村农业科技有限公司董事长</t>
  </si>
  <si>
    <t>驻马店市青年五四奖章</t>
  </si>
  <si>
    <t>胡晨辉</t>
  </si>
  <si>
    <t>广东省深圳市龙华新区</t>
  </si>
  <si>
    <t>河南龙凤山农牧股份有限公司常务副总经理、董事会秘书</t>
  </si>
  <si>
    <t>确山县青年五四奖章</t>
  </si>
  <si>
    <t>许嘉辉</t>
  </si>
  <si>
    <t>驻马店市尚视文化传播有限公司董事长</t>
  </si>
  <si>
    <t>市播音主持协会秘书长
市音乐家协会副秘书长
市青少年文艺发展联合会 会长</t>
  </si>
  <si>
    <t>刘剑</t>
  </si>
  <si>
    <t>中专</t>
  </si>
  <si>
    <t>河南省北斗科技有限公司副总经理</t>
  </si>
  <si>
    <t>驻马店市信用建设促进会副会长</t>
  </si>
  <si>
    <t>康  磊</t>
  </si>
  <si>
    <t>驻马店农商银行授信评审部经理</t>
  </si>
  <si>
    <t>中级经济师</t>
  </si>
  <si>
    <t>专技（企业中层管理人员）</t>
  </si>
  <si>
    <t>2013年、2016年省联社先进工作者、2014年驻马店市先进工作者、2017年驻马店市优秀共产党员</t>
  </si>
  <si>
    <t>赵大鹏</t>
  </si>
  <si>
    <t>共青团新蔡县委书记</t>
  </si>
  <si>
    <t>脱贫攻坚个人三等功</t>
  </si>
  <si>
    <t>梁永飞</t>
  </si>
  <si>
    <t>梁飞专业种植合作社理事长</t>
  </si>
  <si>
    <t>上蔡县十佳创业青年</t>
  </si>
  <si>
    <t>吴中民</t>
  </si>
  <si>
    <t>河南省遂平县</t>
  </si>
  <si>
    <t>河南物美物业管理有限公司董事长</t>
  </si>
  <si>
    <t>驻马店市青年商会副会长</t>
  </si>
  <si>
    <t>韩威</t>
  </si>
  <si>
    <t>驻马店市驿城区</t>
  </si>
  <si>
    <t>中共预备党员</t>
  </si>
  <si>
    <t>河南恒泰门业有限公司总经理</t>
  </si>
  <si>
    <t>朱春豪</t>
  </si>
  <si>
    <t>回</t>
  </si>
  <si>
    <t>市直团工委书记</t>
  </si>
  <si>
    <t>副科级</t>
  </si>
  <si>
    <t>田昊扬</t>
  </si>
  <si>
    <t>河南省洛阳市</t>
  </si>
  <si>
    <t>驻马店市政府放管服改革办负责人</t>
  </si>
  <si>
    <t>宋欣燃</t>
  </si>
  <si>
    <t>上蔡县欣燃养殖专业合作社理事长</t>
  </si>
  <si>
    <t>上蔡县拔尖人才、上蔡县五一劳动奖章、驻马店市五一巾帼奖章</t>
  </si>
  <si>
    <t>王星淳</t>
  </si>
  <si>
    <t>驻马店市第一人民医院神经内科主治医师</t>
  </si>
  <si>
    <t>院首届医师节优秀医师</t>
  </si>
  <si>
    <t>宋小东</t>
  </si>
  <si>
    <t>四川省西充县</t>
  </si>
  <si>
    <t>西平领秀服饰物联网有限公司总经理</t>
  </si>
  <si>
    <t>高级</t>
  </si>
  <si>
    <t>河南省服装行业专家委员会委员</t>
  </si>
  <si>
    <t>徐丽丽</t>
  </si>
  <si>
    <t>农工党成员</t>
  </si>
  <si>
    <t>驻马店市卫生学校教师</t>
  </si>
  <si>
    <t>驻马店市优秀教师</t>
  </si>
  <si>
    <t>彭飞</t>
  </si>
  <si>
    <t>致公党成员</t>
  </si>
  <si>
    <t>河南交通规划设计研究院股份有限公司区域总监</t>
  </si>
  <si>
    <t>工程师</t>
  </si>
  <si>
    <t>科技</t>
  </si>
  <si>
    <t>专技（科技）</t>
  </si>
  <si>
    <t>朱青青</t>
  </si>
  <si>
    <t>驻马店市第二人民医院医生</t>
  </si>
  <si>
    <t>驻马店市科技进步三等奖</t>
  </si>
  <si>
    <t>薛瑗</t>
  </si>
  <si>
    <t>民建成员</t>
  </si>
  <si>
    <t>驻马店职业技术学院教师</t>
  </si>
  <si>
    <t>河南省优质课一等奖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</si>
</sst>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176" formatCode="0;[Red]0"/>
    <numFmt numFmtId="177" formatCode="0.00;[Red]0.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yyyy&quot;年&quot;m&quot;月&quot;;@"/>
    <numFmt numFmtId="179" formatCode="0_ "/>
    <numFmt numFmtId="180" formatCode="0&quot;人&quot;"/>
    <numFmt numFmtId="181" formatCode="0.00&quot;岁&quot;"/>
    <numFmt numFmtId="182" formatCode="0&quot;万人&quot;"/>
    <numFmt numFmtId="183" formatCode="0.0&quot;万人&quot;"/>
  </numFmts>
  <fonts count="37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B0F0"/>
      <name val="仿宋_GB2312"/>
      <charset val="134"/>
    </font>
    <font>
      <sz val="20"/>
      <color theme="1"/>
      <name val="宋体"/>
      <charset val="134"/>
      <scheme val="minor"/>
    </font>
    <font>
      <b/>
      <sz val="18"/>
      <color theme="1"/>
      <name val="Arial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Arial"/>
      <charset val="134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19" borderId="20" applyNumberFormat="0" applyAlignment="0" applyProtection="0">
      <alignment vertical="center"/>
    </xf>
    <xf numFmtId="0" fontId="29" fillId="19" borderId="17" applyNumberFormat="0" applyAlignment="0" applyProtection="0">
      <alignment vertical="center"/>
    </xf>
    <xf numFmtId="0" fontId="30" fillId="21" borderId="21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8" fontId="0" fillId="0" borderId="0" xfId="0" applyNumberFormat="1" applyFill="1" applyBorder="1" applyAlignment="1">
      <alignment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78" fontId="0" fillId="0" borderId="0" xfId="0" applyNumberFormat="1" applyFont="1" applyFill="1" applyBorder="1" applyAlignment="1">
      <alignment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2">
    <dxf>
      <fill>
        <patternFill patternType="solid">
          <bgColor theme="7" tint="0.8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800" b="1"/>
              <a:t>驻马店市青年联合会第一届委员会委员构成表</a:t>
            </a:r>
            <a:endParaRPr sz="1800" b="1"/>
          </a:p>
        </c:rich>
      </c:tx>
      <c:layout>
        <c:manualLayout>
          <c:xMode val="edge"/>
          <c:yMode val="edge"/>
          <c:x val="0.109144072301967"/>
          <c:y val="0.044636818612200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86669839277736"/>
          <c:y val="0.219437751004016"/>
          <c:w val="0.457634701956917"/>
          <c:h val="0.700162715090391"/>
        </c:manualLayout>
      </c:layout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explosion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explosion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966102422147184"/>
                  <c:y val="-0.016500860328324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342574879480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0517645923681957"/>
                  <c:y val="0.02162938225553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1441904504261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176899241293799"/>
                  <c:y val="0.02188539517740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3425748794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0457282580317872"/>
                  <c:y val="-0.01478357756277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3425748794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00835873621096306"/>
                  <c:y val="-0.027624472919603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3425748794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0991595908885608"/>
                  <c:y val="-0.037059890719795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34257487948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0920954088222115"/>
                  <c:y val="-0.029342456111877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461247125659408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0353789147009871"/>
                  <c:y val="-0.04329945661983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34257487948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.0111330825761179"/>
                  <c:y val="-0.01392818444811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3425748794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0267505719067112"/>
                  <c:y val="0.006724101788885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3425748794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00678616602362688"/>
                  <c:y val="0.0171502524958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3425748794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0.0516031942007549"/>
                  <c:y val="0.022487006045722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3425748794801"/>
                    </c:manualLayout>
                  </c15:layout>
                </c:ext>
              </c:extLst>
            </c:dLbl>
            <c:dLbl>
              <c:idx val="12"/>
              <c:layout>
                <c:manualLayout>
                  <c:x val="-0.116642141586949"/>
                  <c:y val="-0.016604180627420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99953305684"/>
                      <c:h val="0.0383425748794801"/>
                    </c:manualLayout>
                  </c15:layout>
                </c:ext>
              </c:extLst>
            </c:dLbl>
            <c:numFmt formatCode="General" sourceLinked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构成表!$C$3:$O$3</c:f>
              <c:strCache>
                <c:ptCount val="13"/>
                <c:pt idx="0">
                  <c:v>指定席位</c:v>
                </c:pt>
                <c:pt idx="1">
                  <c:v>科学技术</c:v>
                </c:pt>
                <c:pt idx="2">
                  <c:v>教育</c:v>
                </c:pt>
                <c:pt idx="3">
                  <c:v>农业</c:v>
                </c:pt>
                <c:pt idx="4">
                  <c:v>社会科学</c:v>
                </c:pt>
                <c:pt idx="5">
                  <c:v>经济</c:v>
                </c:pt>
                <c:pt idx="6">
                  <c:v>金融商务</c:v>
                </c:pt>
                <c:pt idx="7">
                  <c:v>法律</c:v>
                </c:pt>
                <c:pt idx="8">
                  <c:v>文化艺术体育</c:v>
                </c:pt>
                <c:pt idx="9">
                  <c:v>新闻出版和传媒</c:v>
                </c:pt>
                <c:pt idx="10">
                  <c:v>医药卫生</c:v>
                </c:pt>
                <c:pt idx="11">
                  <c:v>社会组织和宗教</c:v>
                </c:pt>
                <c:pt idx="12">
                  <c:v>技能人才</c:v>
                </c:pt>
              </c:strCache>
            </c:strRef>
          </c:cat>
          <c:val>
            <c:numRef>
              <c:f>构成表!$C$5:$O$5</c:f>
              <c:numCache>
                <c:formatCode>0"人"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</c:numCache>
            </c:numRef>
          </c:val>
        </c:ser>
        <c:ser>
          <c:idx val="1"/>
          <c:order val="1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构成表!$C$3:$O$3</c:f>
              <c:strCache>
                <c:ptCount val="13"/>
                <c:pt idx="0">
                  <c:v>指定席位</c:v>
                </c:pt>
                <c:pt idx="1">
                  <c:v>科学技术</c:v>
                </c:pt>
                <c:pt idx="2">
                  <c:v>教育</c:v>
                </c:pt>
                <c:pt idx="3">
                  <c:v>农业</c:v>
                </c:pt>
                <c:pt idx="4">
                  <c:v>社会科学</c:v>
                </c:pt>
                <c:pt idx="5">
                  <c:v>经济</c:v>
                </c:pt>
                <c:pt idx="6">
                  <c:v>金融商务</c:v>
                </c:pt>
                <c:pt idx="7">
                  <c:v>法律</c:v>
                </c:pt>
                <c:pt idx="8">
                  <c:v>文化艺术体育</c:v>
                </c:pt>
                <c:pt idx="9">
                  <c:v>新闻出版和传媒</c:v>
                </c:pt>
                <c:pt idx="10">
                  <c:v>医药卫生</c:v>
                </c:pt>
                <c:pt idx="11">
                  <c:v>社会组织和宗教</c:v>
                </c:pt>
                <c:pt idx="12">
                  <c:v>技能人才</c:v>
                </c:pt>
              </c:strCache>
            </c:strRef>
          </c:cat>
          <c:val>
            <c:numRef>
              <c:f>构成表!$C$5:$O$5</c:f>
              <c:numCache>
                <c:formatCode>0"人"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800" b="1"/>
              <a:t>驻马店市青年联合会第一届委员</a:t>
            </a:r>
            <a:endParaRPr sz="1800" b="1"/>
          </a:p>
          <a:p>
            <a:pPr defTabSz="914400">
              <a:defRPr lang="zh-CN"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800" b="1"/>
              <a:t>各界别平均年龄</a:t>
            </a:r>
            <a:endParaRPr lang="en-US" altLang="zh-CN" sz="18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16501323039153"/>
          <c:y val="0.175475687103594"/>
          <c:w val="0.879249338595556"/>
          <c:h val="0.5424621889738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构成表!$C$3:$O$3</c:f>
              <c:strCache>
                <c:ptCount val="13"/>
                <c:pt idx="0">
                  <c:v>指定席位</c:v>
                </c:pt>
                <c:pt idx="1">
                  <c:v>科学技术</c:v>
                </c:pt>
                <c:pt idx="2">
                  <c:v>教育</c:v>
                </c:pt>
                <c:pt idx="3">
                  <c:v>农业</c:v>
                </c:pt>
                <c:pt idx="4">
                  <c:v>社会科学</c:v>
                </c:pt>
                <c:pt idx="5">
                  <c:v>经济</c:v>
                </c:pt>
                <c:pt idx="6">
                  <c:v>金融商务</c:v>
                </c:pt>
                <c:pt idx="7">
                  <c:v>法律</c:v>
                </c:pt>
                <c:pt idx="8">
                  <c:v>文化艺术体育</c:v>
                </c:pt>
                <c:pt idx="9">
                  <c:v>新闻出版和传媒</c:v>
                </c:pt>
                <c:pt idx="10">
                  <c:v>医药卫生</c:v>
                </c:pt>
                <c:pt idx="11">
                  <c:v>社会组织和宗教</c:v>
                </c:pt>
                <c:pt idx="12">
                  <c:v>技能人才</c:v>
                </c:pt>
              </c:strCache>
            </c:strRef>
          </c:cat>
          <c:val>
            <c:numRef>
              <c:f>构成表!$C$4:$O$4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构成表!$C$3:$O$3</c:f>
              <c:strCache>
                <c:ptCount val="13"/>
                <c:pt idx="0">
                  <c:v>指定席位</c:v>
                </c:pt>
                <c:pt idx="1">
                  <c:v>科学技术</c:v>
                </c:pt>
                <c:pt idx="2">
                  <c:v>教育</c:v>
                </c:pt>
                <c:pt idx="3">
                  <c:v>农业</c:v>
                </c:pt>
                <c:pt idx="4">
                  <c:v>社会科学</c:v>
                </c:pt>
                <c:pt idx="5">
                  <c:v>经济</c:v>
                </c:pt>
                <c:pt idx="6">
                  <c:v>金融商务</c:v>
                </c:pt>
                <c:pt idx="7">
                  <c:v>法律</c:v>
                </c:pt>
                <c:pt idx="8">
                  <c:v>文化艺术体育</c:v>
                </c:pt>
                <c:pt idx="9">
                  <c:v>新闻出版和传媒</c:v>
                </c:pt>
                <c:pt idx="10">
                  <c:v>医药卫生</c:v>
                </c:pt>
                <c:pt idx="11">
                  <c:v>社会组织和宗教</c:v>
                </c:pt>
                <c:pt idx="12">
                  <c:v>技能人才</c:v>
                </c:pt>
              </c:strCache>
            </c:strRef>
          </c:cat>
          <c:val>
            <c:numRef>
              <c:f>构成表!$C$7:$O$7</c:f>
              <c:numCache>
                <c:formatCode>0.00"岁"</c:formatCode>
                <c:ptCount val="13"/>
                <c:pt idx="0">
                  <c:v>32.25</c:v>
                </c:pt>
                <c:pt idx="1">
                  <c:v>34</c:v>
                </c:pt>
                <c:pt idx="2">
                  <c:v>31.5</c:v>
                </c:pt>
                <c:pt idx="3">
                  <c:v>32.1666666666667</c:v>
                </c:pt>
                <c:pt idx="4">
                  <c:v>0</c:v>
                </c:pt>
                <c:pt idx="5">
                  <c:v>35</c:v>
                </c:pt>
                <c:pt idx="6">
                  <c:v>36</c:v>
                </c:pt>
                <c:pt idx="7">
                  <c:v>0</c:v>
                </c:pt>
                <c:pt idx="8">
                  <c:v>33.5</c:v>
                </c:pt>
                <c:pt idx="9">
                  <c:v>31.2</c:v>
                </c:pt>
                <c:pt idx="10">
                  <c:v>31.6</c:v>
                </c:pt>
                <c:pt idx="11">
                  <c:v>24</c:v>
                </c:pt>
                <c:pt idx="12">
                  <c:v>28.3333333333333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994600"/>
        <c:axId val="588192442"/>
      </c:barChart>
      <c:catAx>
        <c:axId val="128994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8192442"/>
        <c:crosses val="autoZero"/>
        <c:auto val="1"/>
        <c:lblAlgn val="ctr"/>
        <c:lblOffset val="100"/>
        <c:noMultiLvlLbl val="0"/>
      </c:catAx>
      <c:valAx>
        <c:axId val="58819244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899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11430</xdr:colOff>
      <xdr:row>7</xdr:row>
      <xdr:rowOff>85725</xdr:rowOff>
    </xdr:from>
    <xdr:to>
      <xdr:col>9</xdr:col>
      <xdr:colOff>665480</xdr:colOff>
      <xdr:row>27</xdr:row>
      <xdr:rowOff>99695</xdr:rowOff>
    </xdr:to>
    <xdr:graphicFrame>
      <xdr:nvGraphicFramePr>
        <xdr:cNvPr id="7" name="图表 6"/>
        <xdr:cNvGraphicFramePr/>
      </xdr:nvGraphicFramePr>
      <xdr:xfrm>
        <a:off x="697230" y="1831975"/>
        <a:ext cx="6140450" cy="36334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184150</xdr:colOff>
      <xdr:row>7</xdr:row>
      <xdr:rowOff>88900</xdr:rowOff>
    </xdr:from>
    <xdr:to>
      <xdr:col>16</xdr:col>
      <xdr:colOff>650875</xdr:colOff>
      <xdr:row>27</xdr:row>
      <xdr:rowOff>102870</xdr:rowOff>
    </xdr:to>
    <xdr:graphicFrame>
      <xdr:nvGraphicFramePr>
        <xdr:cNvPr id="2" name="图表 1"/>
        <xdr:cNvGraphicFramePr/>
      </xdr:nvGraphicFramePr>
      <xdr:xfrm>
        <a:off x="7042150" y="1835150"/>
        <a:ext cx="4563110" cy="36334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Q58"/>
  <sheetViews>
    <sheetView zoomScale="115" zoomScaleNormal="115" workbookViewId="0">
      <selection activeCell="E39" sqref="E39"/>
    </sheetView>
  </sheetViews>
  <sheetFormatPr defaultColWidth="9" defaultRowHeight="14.25"/>
  <cols>
    <col min="2" max="2" width="9" style="42"/>
    <col min="16" max="16" width="8.75833333333333" customWidth="1"/>
  </cols>
  <sheetData>
    <row r="2" ht="52" customHeight="1" spans="2:17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>
      <c r="A3" s="42"/>
      <c r="B3" s="44"/>
      <c r="C3" s="44" t="s">
        <v>1</v>
      </c>
      <c r="D3" s="44" t="s">
        <v>2</v>
      </c>
      <c r="E3" s="44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5" t="s">
        <v>14</v>
      </c>
      <c r="Q3" s="45"/>
    </row>
    <row r="4" spans="1:17">
      <c r="A4" s="4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  <c r="Q4" s="45"/>
    </row>
    <row r="5" spans="2:17">
      <c r="B5" s="45" t="s">
        <v>15</v>
      </c>
      <c r="C5" s="46">
        <f>COUNTIF(汇总表!O:O,"指定席位")</f>
        <v>4</v>
      </c>
      <c r="D5" s="46">
        <f>COUNTIF(汇总表!O:O,"科学技术")</f>
        <v>4</v>
      </c>
      <c r="E5" s="46">
        <f>COUNTIF(汇总表!O:O,"教育")</f>
        <v>4</v>
      </c>
      <c r="F5" s="46">
        <f>COUNTIF(汇总表!O:O,"农业")</f>
        <v>6</v>
      </c>
      <c r="G5" s="46">
        <f>COUNTIF(汇总表!O:O,"指定席位")</f>
        <v>4</v>
      </c>
      <c r="H5" s="46">
        <f>COUNTIF(汇总表!O:O,"经济")</f>
        <v>4</v>
      </c>
      <c r="I5" s="46">
        <f>COUNTIF(汇总表!O:O,"金融商务")</f>
        <v>1</v>
      </c>
      <c r="J5" s="46">
        <f>COUNTIF(汇总表!O:O,"法律")</f>
        <v>0</v>
      </c>
      <c r="K5" s="46">
        <f>COUNTIF(汇总表!O:O,"文化艺术体育")</f>
        <v>4</v>
      </c>
      <c r="L5" s="46">
        <f>COUNTIF(汇总表!O:O,"新闻出版和传媒")</f>
        <v>5</v>
      </c>
      <c r="M5" s="46">
        <f>COUNTIF(汇总表!O:O,"医药卫生")</f>
        <v>5</v>
      </c>
      <c r="N5" s="46">
        <f>COUNTIF(汇总表!O:O,"社会组织和宗教")</f>
        <v>1</v>
      </c>
      <c r="O5" s="46">
        <f>COUNTIF(汇总表!O:O,"技能人才")</f>
        <v>3</v>
      </c>
      <c r="P5" s="46">
        <f>SUM(C5:O5)</f>
        <v>45</v>
      </c>
      <c r="Q5" s="46"/>
    </row>
    <row r="6" spans="2:17">
      <c r="B6" s="45" t="s">
        <v>16</v>
      </c>
      <c r="C6" s="47">
        <f>C5/P5</f>
        <v>0.0888888888888889</v>
      </c>
      <c r="D6" s="47">
        <f>D5/P5</f>
        <v>0.0888888888888889</v>
      </c>
      <c r="E6" s="47">
        <f>E5/P5</f>
        <v>0.0888888888888889</v>
      </c>
      <c r="F6" s="47">
        <f>F5/P5</f>
        <v>0.133333333333333</v>
      </c>
      <c r="G6" s="47">
        <f>G5/P5</f>
        <v>0.0888888888888889</v>
      </c>
      <c r="H6" s="47">
        <f>H5/P5</f>
        <v>0.0888888888888889</v>
      </c>
      <c r="I6" s="47">
        <f>I5/P5</f>
        <v>0.0222222222222222</v>
      </c>
      <c r="J6" s="47">
        <f>J5/P5</f>
        <v>0</v>
      </c>
      <c r="K6" s="47">
        <f>K5/P5</f>
        <v>0.0888888888888889</v>
      </c>
      <c r="L6" s="47">
        <f>L5/P5</f>
        <v>0.111111111111111</v>
      </c>
      <c r="M6" s="47">
        <f>M5/P5</f>
        <v>0.111111111111111</v>
      </c>
      <c r="N6" s="47">
        <f>N5/P5</f>
        <v>0.0222222222222222</v>
      </c>
      <c r="O6" s="47">
        <f>O5/P5</f>
        <v>0.0666666666666667</v>
      </c>
      <c r="P6" s="66">
        <f>SUM(C6:O6)</f>
        <v>1</v>
      </c>
      <c r="Q6" s="66"/>
    </row>
    <row r="7" spans="2:17">
      <c r="B7" s="45" t="s">
        <v>17</v>
      </c>
      <c r="C7" s="48">
        <f>AVERAGEIF(汇总表!O:O,"指定席位",汇总表!G:G)</f>
        <v>32.25</v>
      </c>
      <c r="D7" s="48">
        <f>AVERAGEIF(汇总表!O:O,"科学技术",汇总表!G:G)</f>
        <v>34</v>
      </c>
      <c r="E7" s="48">
        <f>AVERAGEIF(汇总表!O:O,"教育",汇总表!G:G)</f>
        <v>31.5</v>
      </c>
      <c r="F7" s="48">
        <f>AVERAGEIF(汇总表!O:O,"农业",汇总表!G:G)</f>
        <v>32.1666666666667</v>
      </c>
      <c r="G7" s="48" t="e">
        <f>AVERAGEIF(汇总表!O:O,"社会科学",汇总表!G:G)</f>
        <v>#DIV/0!</v>
      </c>
      <c r="H7" s="48">
        <f>AVERAGEIF(汇总表!O:O,"经济",汇总表!G:G)</f>
        <v>35</v>
      </c>
      <c r="I7" s="48">
        <f>AVERAGEIF(汇总表!O:O,"金融商务",汇总表!G:G)</f>
        <v>36</v>
      </c>
      <c r="J7" s="48" t="e">
        <f>AVERAGEIF(汇总表!O:O,"法律",汇总表!G:G)</f>
        <v>#DIV/0!</v>
      </c>
      <c r="K7" s="48">
        <f>AVERAGEIF(汇总表!O:O,"文化艺术体育",汇总表!G:G)</f>
        <v>33.5</v>
      </c>
      <c r="L7" s="48">
        <f>AVERAGEIF(汇总表!O:O,"新闻出版和传媒",汇总表!G:G)</f>
        <v>31.2</v>
      </c>
      <c r="M7" s="48">
        <f>AVERAGEIF(汇总表!O:O,"医药卫生",汇总表!G:G)</f>
        <v>31.6</v>
      </c>
      <c r="N7" s="48">
        <f>AVERAGEIF(汇总表!O:O,"社会组织和宗教",汇总表!G:G)</f>
        <v>24</v>
      </c>
      <c r="O7" s="48">
        <f>AVERAGEIF(汇总表!O:O,"技能人才",汇总表!G:G)</f>
        <v>28.3333333333333</v>
      </c>
      <c r="P7" s="48">
        <f>AVERAGE(汇总表!G:G)</f>
        <v>32.0502891411437</v>
      </c>
      <c r="Q7" s="48"/>
    </row>
    <row r="29" spans="2:13">
      <c r="B29" s="49"/>
      <c r="C29" s="50"/>
      <c r="D29" s="51"/>
      <c r="E29" s="52" t="s">
        <v>18</v>
      </c>
      <c r="F29" s="45" t="s">
        <v>19</v>
      </c>
      <c r="G29" s="53" t="s">
        <v>20</v>
      </c>
      <c r="H29" s="45" t="s">
        <v>21</v>
      </c>
      <c r="I29" s="67" t="s">
        <v>22</v>
      </c>
      <c r="J29" s="68" t="s">
        <v>23</v>
      </c>
      <c r="K29" s="67" t="s">
        <v>24</v>
      </c>
      <c r="L29" s="53" t="s">
        <v>25</v>
      </c>
      <c r="M29" s="53"/>
    </row>
    <row r="30" spans="2:17">
      <c r="B30" s="44" t="s">
        <v>26</v>
      </c>
      <c r="C30" s="45" t="s">
        <v>15</v>
      </c>
      <c r="D30" s="46" t="e">
        <f>COUNTIF(汇总表!#REF!,"主席")+COUNTIF(汇总表!#REF!,"副主席")</f>
        <v>#REF!</v>
      </c>
      <c r="E30" s="51" t="e">
        <f>COUNTIFS(汇总表!J:J,"中共党员",汇总表!#REF!,"主席")+COUNTIFS(汇总表!J:J,"中共预备党员",汇总表!#REF!,"主席")+COUNTIFS(汇总表!J:J,"中共党员",汇总表!#REF!,"副主席")+COUNTIFS(汇总表!J:J,"中共预备党员",汇总表!#REF!,"副主席")</f>
        <v>#REF!</v>
      </c>
      <c r="F30" s="46" t="e">
        <f>COUNTIFS(汇总表!E:E,"女",汇总表!#REF!,"主席")+COUNTIFS(汇总表!E:E,"女",汇总表!#REF!,"副主席")</f>
        <v>#REF!</v>
      </c>
      <c r="G30" s="46" t="e">
        <f>COUNTIFS(汇总表!O:O,"科学技术",汇总表!#REF!,"主席")+COUNTIFS(汇总表!O:O,"教育",汇总表!#REF!,"主席")+COUNTIFS(汇总表!O:O,"医药卫生",汇总表!#REF!,"主席")+COUNTIFS(汇总表!O:O,"文化艺术体育",汇总表!#REF!,"主席")+COUNTIFS(汇总表!O:O,"法律",汇总表!#REF!,"主席")+COUNTIFS(汇总表!O:O,"新闻出版和传媒",汇总表!#REF!,"主席")+COUNTIFS(汇总表!O:O,"科学技术",汇总表!#REF!,"副主席")+COUNTIFS(汇总表!O:O,"教育",汇总表!#REF!,"副主席")+COUNTIFS(汇总表!O:O,"医药卫生",汇总表!#REF!,"副主席")+COUNTIFS(汇总表!O:O,"文化艺术体育",汇总表!#REF!,"副主席")+COUNTIFS(汇总表!O:O,"法律",汇总表!#REF!,"副主席")+COUNTIFS(汇总表!O:O,"新闻出版和传媒",汇总表!#REF!,"副主席")</f>
        <v>#REF!</v>
      </c>
      <c r="H30" s="46" t="e">
        <f>D30-COUNTIFS(汇总表!I:I,"汉",汇总表!#REF!,"主席")-COUNTIFS(汇总表!I:I,"汉",汇总表!#REF!,"副主席")</f>
        <v>#REF!</v>
      </c>
      <c r="I30" s="46" t="e">
        <f>COUNTIFS(汇总表!P:P,"一线劳动者",汇总表!#REF!,"主席")+COUNTIFS(汇总表!P:P,"一线劳动者",汇总表!#REF!,"副主席")</f>
        <v>#REF!</v>
      </c>
      <c r="J30" s="45" t="e">
        <f>COUNTIFS(汇总表!P:P,"党政干部",汇总表!#REF!,"主席")+COUNTIFS(汇总表!P:P,"党政干部",汇总表!#REF!,"副主席")</f>
        <v>#REF!</v>
      </c>
      <c r="K30" s="46" t="e">
        <f>COUNTIFS(汇总表!P:P,"企业负责人",汇总表!#REF!,"主席")+COUNTIFS(汇总表!P:P,"企业负责人",汇总表!#REF!,"副主席")</f>
        <v>#REF!</v>
      </c>
      <c r="L30" s="46" t="e">
        <f>COUNTIFS(汇总表!K:K,"大学本科",汇总表!#REF!,"主席")+COUNTIFS(汇总表!K:K,"研究生",汇总表!#REF!,"主席")+COUNTIFS(汇总表!K:K,"大学本科",汇总表!#REF!,"副主席")+COUNTIFS(汇总表!K:K,"研究生",汇总表!#REF!,"副主席")</f>
        <v>#REF!</v>
      </c>
      <c r="M30" s="46"/>
      <c r="O30" s="69" t="s">
        <v>27</v>
      </c>
      <c r="P30" s="70"/>
      <c r="Q30" s="77"/>
    </row>
    <row r="31" spans="2:17">
      <c r="B31" s="44"/>
      <c r="C31" s="45" t="s">
        <v>16</v>
      </c>
      <c r="D31" s="47" t="e">
        <f>D30/D32</f>
        <v>#REF!</v>
      </c>
      <c r="E31" s="47" t="e">
        <f t="shared" ref="E31:E35" si="0">E30/D30</f>
        <v>#REF!</v>
      </c>
      <c r="F31" s="47" t="e">
        <f>F30/D30</f>
        <v>#REF!</v>
      </c>
      <c r="G31" s="47" t="e">
        <f>G30/D30</f>
        <v>#REF!</v>
      </c>
      <c r="H31" s="47" t="e">
        <f>H30/D30</f>
        <v>#REF!</v>
      </c>
      <c r="I31" s="47" t="e">
        <f>I30/D30</f>
        <v>#REF!</v>
      </c>
      <c r="J31" s="47" t="e">
        <f>J30/D30</f>
        <v>#REF!</v>
      </c>
      <c r="K31" s="47" t="e">
        <f>K30/D30</f>
        <v>#REF!</v>
      </c>
      <c r="L31" s="47" t="e">
        <f>L30/D30</f>
        <v>#REF!</v>
      </c>
      <c r="M31" s="47"/>
      <c r="O31" s="68" t="s">
        <v>28</v>
      </c>
      <c r="P31" s="71" t="s">
        <v>29</v>
      </c>
      <c r="Q31" s="71" t="s">
        <v>30</v>
      </c>
    </row>
    <row r="32" spans="2:17">
      <c r="B32" s="45" t="s">
        <v>31</v>
      </c>
      <c r="C32" s="45" t="s">
        <v>15</v>
      </c>
      <c r="D32" s="46" t="e">
        <f>COUNTIF(汇总表!#REF!,"主席")+COUNTIF(汇总表!#REF!,"副主席")+COUNTIF(汇总表!#REF!,"常委")</f>
        <v>#REF!</v>
      </c>
      <c r="E32" s="51" t="e">
        <f>COUNTIFS(汇总表!J:J,"中共党员",汇总表!#REF!,"主席")+COUNTIFS(汇总表!J:J,"中共预备党员",汇总表!#REF!,"主席")+COUNTIFS(汇总表!J:J,"中共党员",汇总表!#REF!,"副主席")+COUNTIFS(汇总表!J:J,"中共预备党员",汇总表!#REF!,"副主席")+COUNTIFS(汇总表!J:J,"中共党员",汇总表!#REF!,"常委")+COUNTIFS(汇总表!J:J,"中共预备党员",汇总表!#REF!,"常委")</f>
        <v>#REF!</v>
      </c>
      <c r="F32" s="46" t="e">
        <f>COUNTIFS(汇总表!E:E,"女",汇总表!#REF!,"主席")+COUNTIFS(汇总表!E:E,"女",汇总表!#REF!,"副主席")+COUNTIFS(汇总表!E:E,"女",汇总表!#REF!,"常委")</f>
        <v>#REF!</v>
      </c>
      <c r="G32" s="46" t="e">
        <f>COUNTIFS(汇总表!O:O,"科学技术",汇总表!#REF!,"主席")+COUNTIFS(汇总表!O:O,"教育",汇总表!#REF!,"主席")+COUNTIFS(汇总表!O:O,"医药卫生",汇总表!#REF!,"主席")+COUNTIFS(汇总表!O:O,"文化艺术体育",汇总表!#REF!,"主席")+COUNTIFS(汇总表!O:O,"法律",汇总表!#REF!,"主席")+COUNTIFS(汇总表!O:O,"新闻出版和传媒",汇总表!#REF!,"主席")+COUNTIFS(汇总表!O:O,"科学技术",汇总表!#REF!,"副主席")+COUNTIFS(汇总表!O:O,"教育",汇总表!#REF!,"副主席")+COUNTIFS(汇总表!O:O,"医药卫生",汇总表!#REF!,"副主席")+COUNTIFS(汇总表!O:O,"文化艺术体育",汇总表!#REF!,"副主席")+COUNTIFS(汇总表!O:O,"法律",汇总表!#REF!,"副主席")+COUNTIFS(汇总表!O:O,"新闻出版和传媒",汇总表!#REF!,"副主席")+COUNTIFS(汇总表!O:O,"科学技术",汇总表!#REF!,"常委")+COUNTIFS(汇总表!O:O,"教育",汇总表!#REF!,"常委")+COUNTIFS(汇总表!O:O,"医药卫生",汇总表!#REF!,"常委")+COUNTIFS(汇总表!O:O,"文化艺术体育",汇总表!#REF!,"常委")+COUNTIFS(汇总表!O:O,"法律",汇总表!#REF!,"常委")+COUNTIFS(汇总表!O:O,"新闻出版和传媒",汇总表!#REF!,"常委")</f>
        <v>#REF!</v>
      </c>
      <c r="H32" s="46" t="e">
        <f>D32-COUNTIFS(汇总表!I:I,"汉",汇总表!#REF!,"主席")-COUNTIFS(汇总表!I:I,"汉",汇总表!#REF!,"副主席")-COUNTIFS(汇总表!I:I,"汉",汇总表!#REF!,"常委")</f>
        <v>#REF!</v>
      </c>
      <c r="I32" s="46" t="e">
        <f>COUNTIFS(汇总表!P:P,"一线劳动者",汇总表!#REF!,"主席")+COUNTIFS(汇总表!P:P,"一线劳动者",汇总表!#REF!,"副主席")+COUNTIFS(汇总表!P:P,"一线劳动者",汇总表!#REF!,"常委")</f>
        <v>#REF!</v>
      </c>
      <c r="J32" s="45" t="e">
        <f>COUNTIFS(汇总表!P:P,"党政干部",汇总表!#REF!,"主席")+COUNTIFS(汇总表!P:P,"党政干部",汇总表!#REF!,"副主席")+COUNTIFS(汇总表!P:P,"党政干部",汇总表!#REF!,"常委")</f>
        <v>#REF!</v>
      </c>
      <c r="K32" s="46" t="e">
        <f>COUNTIFS(汇总表!P:P,"企业负责人",汇总表!#REF!,"主席")+COUNTIFS(汇总表!P:P,"企业负责人",汇总表!#REF!,"副主席")+COUNTIFS(汇总表!P:P,"企业负责人",汇总表!#REF!,"常委")</f>
        <v>#REF!</v>
      </c>
      <c r="L32" s="46" t="e">
        <f>COUNTIFS(汇总表!K:K,"大学本科",汇总表!#REF!,"主席")+COUNTIFS(汇总表!K:K,"研究生",汇总表!#REF!,"主席")+COUNTIFS(汇总表!K:K,"大学本科",汇总表!#REF!,"副主席")+COUNTIFS(汇总表!K:K,"研究生",汇总表!#REF!,"副主席")+COUNTIFS(汇总表!K:K,"大学本科",汇总表!#REF!,"常委")+COUNTIFS(汇总表!K:K,"研究生",汇总表!#REF!,"常委")</f>
        <v>#REF!</v>
      </c>
      <c r="M32" s="46"/>
      <c r="O32" s="72">
        <v>900</v>
      </c>
      <c r="P32" s="73">
        <v>8.7</v>
      </c>
      <c r="Q32" s="47">
        <f>P32/O32</f>
        <v>0.00966666666666667</v>
      </c>
    </row>
    <row r="33" spans="2:13">
      <c r="B33" s="45"/>
      <c r="C33" s="45" t="s">
        <v>16</v>
      </c>
      <c r="D33" s="47" t="e">
        <f>D32/D34</f>
        <v>#REF!</v>
      </c>
      <c r="E33" s="47" t="e">
        <f t="shared" si="0"/>
        <v>#REF!</v>
      </c>
      <c r="F33" s="47" t="e">
        <f>F32/D32</f>
        <v>#REF!</v>
      </c>
      <c r="G33" s="47" t="e">
        <f>G32/D32</f>
        <v>#REF!</v>
      </c>
      <c r="H33" s="47" t="e">
        <f>H32/D32</f>
        <v>#REF!</v>
      </c>
      <c r="I33" s="47" t="e">
        <f>I32/D32</f>
        <v>#REF!</v>
      </c>
      <c r="J33" s="47" t="e">
        <f>J32/D32</f>
        <v>#REF!</v>
      </c>
      <c r="K33" s="47" t="e">
        <f>K32/D32</f>
        <v>#REF!</v>
      </c>
      <c r="L33" s="47" t="e">
        <f>L32/D32</f>
        <v>#REF!</v>
      </c>
      <c r="M33" s="47"/>
    </row>
    <row r="34" spans="2:13">
      <c r="B34" s="45" t="s">
        <v>32</v>
      </c>
      <c r="C34" s="54" t="s">
        <v>15</v>
      </c>
      <c r="D34" s="55">
        <f>P5</f>
        <v>45</v>
      </c>
      <c r="E34" s="51">
        <f>COUNTIF(汇总表!J:J,"中共党员")+COUNTIF(汇总表!J:J,"中共预备党员")</f>
        <v>25</v>
      </c>
      <c r="F34" s="46">
        <f>COUNTIF(汇总表!E:E,"女")</f>
        <v>12</v>
      </c>
      <c r="G34" s="46">
        <f>COUNTIF(汇总表!O:O,"科学技术")+COUNTIF(汇总表!O:O,"教育")+COUNTIF(汇总表!O:O,"医药卫生")+COUNTIF(汇总表!O:O,"文化艺术体育")+COUNTIF(汇总表!O:O,"法律")+COUNTIF(汇总表!O:O,"新闻出版和传媒")</f>
        <v>22</v>
      </c>
      <c r="H34" s="46">
        <f>D34-COUNTIF(汇总表!I:I,"汉")</f>
        <v>4</v>
      </c>
      <c r="I34" s="46">
        <f>COUNTIF(汇总表!P:P,"一线劳动者")</f>
        <v>5</v>
      </c>
      <c r="J34" s="45">
        <f>COUNTIF(汇总表!P:P,"党政干部")</f>
        <v>1</v>
      </c>
      <c r="K34" s="46">
        <f>COUNTIF(汇总表!P:P,"企业负责人")</f>
        <v>15</v>
      </c>
      <c r="L34" s="46">
        <f>COUNTIF(汇总表!K:K,"大学本科")+COUNTIF(汇总表!K:K,"研究生")</f>
        <v>29</v>
      </c>
      <c r="M34" s="46"/>
    </row>
    <row r="35" spans="2:13">
      <c r="B35" s="45"/>
      <c r="C35" s="56"/>
      <c r="D35" s="57"/>
      <c r="E35" s="47">
        <f t="shared" si="0"/>
        <v>0.555555555555556</v>
      </c>
      <c r="F35" s="47">
        <f>F34/D34</f>
        <v>0.266666666666667</v>
      </c>
      <c r="G35" s="47">
        <f>G34/D34</f>
        <v>0.488888888888889</v>
      </c>
      <c r="H35" s="47">
        <f>H34/D34</f>
        <v>0.0888888888888889</v>
      </c>
      <c r="I35" s="47">
        <f>I34/D34</f>
        <v>0.111111111111111</v>
      </c>
      <c r="J35" s="47">
        <f>J34/D34</f>
        <v>0.0222222222222222</v>
      </c>
      <c r="K35" s="47">
        <f>K34/D34</f>
        <v>0.333333333333333</v>
      </c>
      <c r="L35" s="47">
        <f>L34/D34</f>
        <v>0.644444444444444</v>
      </c>
      <c r="M35" s="47"/>
    </row>
    <row r="37" spans="7:17">
      <c r="G37" s="58" t="s">
        <v>33</v>
      </c>
      <c r="H37" s="49"/>
      <c r="I37" s="50"/>
      <c r="J37" s="51"/>
      <c r="K37" s="74" t="s">
        <v>18</v>
      </c>
      <c r="L37" s="45" t="s">
        <v>19</v>
      </c>
      <c r="M37" s="53" t="s">
        <v>20</v>
      </c>
      <c r="N37" s="45" t="s">
        <v>21</v>
      </c>
      <c r="O37" s="67" t="s">
        <v>22</v>
      </c>
      <c r="P37" s="74" t="s">
        <v>23</v>
      </c>
      <c r="Q37" s="67" t="s">
        <v>24</v>
      </c>
    </row>
    <row r="38" spans="3:17">
      <c r="C38" s="45" t="s">
        <v>34</v>
      </c>
      <c r="D38" s="45"/>
      <c r="E38" s="45"/>
      <c r="F38" s="45"/>
      <c r="G38" s="59"/>
      <c r="H38" s="44" t="s">
        <v>26</v>
      </c>
      <c r="I38" s="45" t="s">
        <v>15</v>
      </c>
      <c r="J38" s="46" t="e">
        <f>COUNTIF(汇总表!#REF!,"主席")+COUNTIF(汇总表!#REF!,"副主席")+F41</f>
        <v>#REF!</v>
      </c>
      <c r="K38" s="51" t="e">
        <f>COUNTIFS(汇总表!J:J,"中共党员",汇总表!#REF!,"主席")+COUNTIFS(汇总表!J:J,"中共预备党员",汇总表!#REF!,"主席")+COUNTIFS(汇总表!J:J,"中共党员",汇总表!#REF!,"副主席")+COUNTIFS(汇总表!J:J,"中共预备党员",汇总表!#REF!,"副主席")</f>
        <v>#REF!</v>
      </c>
      <c r="L38" s="46" t="e">
        <f>COUNTIFS(汇总表!E:E,"女",汇总表!#REF!,"主席")+COUNTIFS(汇总表!E:E,"女",汇总表!#REF!,"副主席")</f>
        <v>#REF!</v>
      </c>
      <c r="M38" s="46" t="e">
        <f>COUNTIFS(汇总表!O:O,"科学技术",汇总表!#REF!,"主席")+COUNTIFS(汇总表!O:O,"教育",汇总表!#REF!,"主席")+COUNTIFS(汇总表!O:O,"医药卫生",汇总表!#REF!,"主席")+COUNTIFS(汇总表!O:O,"文化艺术体育",汇总表!#REF!,"主席")+COUNTIFS(汇总表!O:O,"法律",汇总表!#REF!,"主席")+COUNTIFS(汇总表!O:O,"新闻出版和传媒",汇总表!#REF!,"主席")+COUNTIFS(汇总表!O:O,"科学技术",汇总表!#REF!,"副主席")+COUNTIFS(汇总表!O:O,"教育",汇总表!#REF!,"副主席")+COUNTIFS(汇总表!O:O,"医药卫生",汇总表!#REF!,"副主席")+COUNTIFS(汇总表!O:O,"文化艺术体育",汇总表!#REF!,"副主席")+COUNTIFS(汇总表!O:O,"法律",汇总表!#REF!,"副主席")+COUNTIFS(汇总表!O:O,"新闻出版和传媒",汇总表!#REF!,"副主席")</f>
        <v>#REF!</v>
      </c>
      <c r="N38" s="46" t="e">
        <f>J38-COUNTIFS(汇总表!I:I,"汉",汇总表!#REF!,"主席")-COUNTIFS(汇总表!I:I,"汉",汇总表!#REF!,"副主席")</f>
        <v>#REF!</v>
      </c>
      <c r="O38" s="46" t="e">
        <f>COUNTIFS(汇总表!P:P,"一线劳动者",汇总表!#REF!,"主席")+COUNTIFS(汇总表!P:P,"一线劳动者",汇总表!#REF!,"副主席")</f>
        <v>#REF!</v>
      </c>
      <c r="P38" s="46" t="e">
        <f>COUNTIFS(汇总表!P:P,"党政干部",汇总表!#REF!,"主席")+COUNTIFS(汇总表!P:P,"党政干部",汇总表!#REF!,"副主席")</f>
        <v>#REF!</v>
      </c>
      <c r="Q38" s="46" t="e">
        <f>COUNTIFS(汇总表!P:P,"企业负责人",汇总表!#REF!,"主席")+COUNTIFS(汇总表!P:P,"企业负责人",汇总表!#REF!,"副主席")</f>
        <v>#REF!</v>
      </c>
    </row>
    <row r="39" spans="3:17">
      <c r="C39" s="45"/>
      <c r="D39" s="45" t="s">
        <v>32</v>
      </c>
      <c r="E39" s="45" t="s">
        <v>31</v>
      </c>
      <c r="F39" s="45" t="s">
        <v>35</v>
      </c>
      <c r="G39" s="59"/>
      <c r="H39" s="44"/>
      <c r="I39" s="45" t="s">
        <v>16</v>
      </c>
      <c r="J39" s="47" t="e">
        <f>J38/J40</f>
        <v>#REF!</v>
      </c>
      <c r="K39" s="47" t="e">
        <f t="shared" ref="K39:K43" si="1">K38/J38</f>
        <v>#REF!</v>
      </c>
      <c r="L39" s="47" t="e">
        <f t="shared" ref="L39:L43" si="2">L38/J38</f>
        <v>#REF!</v>
      </c>
      <c r="M39" s="47" t="e">
        <f t="shared" ref="M39:M43" si="3">M38/J38</f>
        <v>#REF!</v>
      </c>
      <c r="N39" s="47" t="e">
        <f t="shared" ref="N39:N43" si="4">N38/J38</f>
        <v>#REF!</v>
      </c>
      <c r="O39" s="47" t="e">
        <f t="shared" ref="O39:O43" si="5">O38/J38</f>
        <v>#REF!</v>
      </c>
      <c r="P39" s="47" t="e">
        <f t="shared" ref="P39:P43" si="6">P38/J38</f>
        <v>#REF!</v>
      </c>
      <c r="Q39" s="47" t="e">
        <f t="shared" ref="Q39:Q43" si="7">Q38/J38</f>
        <v>#REF!</v>
      </c>
    </row>
    <row r="40" spans="3:17">
      <c r="C40" s="45" t="s">
        <v>36</v>
      </c>
      <c r="D40" s="45">
        <f>INT(P5*0.2)</f>
        <v>9</v>
      </c>
      <c r="E40" s="45" t="e">
        <f>MIN(INT((P5+D40)*0.2)-D32,INT(D32*0.1))</f>
        <v>#REF!</v>
      </c>
      <c r="F40" s="45" t="e">
        <f>INT(INT((P5+D40)*0.2)*0.2)-D30</f>
        <v>#REF!</v>
      </c>
      <c r="G40" s="59"/>
      <c r="H40" s="45" t="s">
        <v>31</v>
      </c>
      <c r="I40" s="45" t="s">
        <v>15</v>
      </c>
      <c r="J40" s="46" t="e">
        <f>COUNTIF(汇总表!#REF!,"主席")+COUNTIF(汇总表!#REF!,"副主席")+COUNTIF(汇总表!#REF!,"常委")+E41</f>
        <v>#REF!</v>
      </c>
      <c r="K40" s="51" t="e">
        <f>COUNTIFS(汇总表!J:J,"中共党员",汇总表!#REF!,"主席")+COUNTIFS(汇总表!J:J,"中共预备党员",汇总表!#REF!,"主席")+COUNTIFS(汇总表!J:J,"中共党员",汇总表!#REF!,"副主席")+COUNTIFS(汇总表!J:J,"中共预备党员",汇总表!#REF!,"副主席")+COUNTIFS(汇总表!J:J,"中共党员",汇总表!#REF!,"常委")+COUNTIFS(汇总表!J:J,"中共预备党员",汇总表!#REF!,"常委")</f>
        <v>#REF!</v>
      </c>
      <c r="L40" s="46" t="e">
        <f>COUNTIFS(汇总表!E:E,"女",汇总表!#REF!,"主席")+COUNTIFS(汇总表!E:E,"女",汇总表!#REF!,"副主席")+COUNTIFS(汇总表!E:E,"女",汇总表!#REF!,"常委")</f>
        <v>#REF!</v>
      </c>
      <c r="M40" s="46" t="e">
        <f>COUNTIFS(汇总表!O:O,"科学技术",汇总表!#REF!,"主席")+COUNTIFS(汇总表!O:O,"教育",汇总表!#REF!,"主席")+COUNTIFS(汇总表!O:O,"医药卫生",汇总表!#REF!,"主席")+COUNTIFS(汇总表!O:O,"文化艺术体育",汇总表!#REF!,"主席")+COUNTIFS(汇总表!O:O,"法律",汇总表!#REF!,"主席")+COUNTIFS(汇总表!O:O,"新闻出版和传媒",汇总表!#REF!,"主席")+COUNTIFS(汇总表!O:O,"科学技术",汇总表!#REF!,"副主席")+COUNTIFS(汇总表!O:O,"教育",汇总表!#REF!,"副主席")+COUNTIFS(汇总表!O:O,"医药卫生",汇总表!#REF!,"副主席")+COUNTIFS(汇总表!O:O,"文化艺术体育",汇总表!#REF!,"副主席")+COUNTIFS(汇总表!O:O,"法律",汇总表!#REF!,"副主席")+COUNTIFS(汇总表!O:O,"新闻出版和传媒",汇总表!#REF!,"副主席")+COUNTIFS(汇总表!O:O,"科学技术",汇总表!#REF!,"常委")+COUNTIFS(汇总表!O:O,"教育",汇总表!#REF!,"常委")+COUNTIFS(汇总表!O:O,"医药卫生",汇总表!#REF!,"常委")+COUNTIFS(汇总表!O:O,"文化艺术体育",汇总表!#REF!,"常委")+COUNTIFS(汇总表!O:O,"法律",汇总表!#REF!,"常委")+COUNTIFS(汇总表!O:O,"新闻出版和传媒",汇总表!#REF!,"常委")</f>
        <v>#REF!</v>
      </c>
      <c r="N40" s="46" t="e">
        <f>J40-COUNTIFS(汇总表!I:I,"汉",汇总表!#REF!,"主席")-COUNTIFS(汇总表!I:I,"汉",汇总表!#REF!,"副主席")-COUNTIFS(汇总表!I:I,"汉",汇总表!#REF!,"常委")</f>
        <v>#REF!</v>
      </c>
      <c r="O40" s="46" t="e">
        <f>COUNTIFS(汇总表!P:P,"一线劳动者",汇总表!#REF!,"主席")+COUNTIFS(汇总表!P:P,"一线劳动者",汇总表!#REF!,"副主席")+COUNTIFS(汇总表!P:P,"一线劳动者",汇总表!#REF!,"常委")</f>
        <v>#REF!</v>
      </c>
      <c r="P40" s="46" t="e">
        <f>COUNTIFS(汇总表!P:P,"党政干部",汇总表!#REF!,"主席")+COUNTIFS(汇总表!P:P,"党政干部",汇总表!#REF!,"副主席")+COUNTIFS(汇总表!P:P,"党政干部",汇总表!#REF!,"常委")</f>
        <v>#REF!</v>
      </c>
      <c r="Q40" s="46" t="e">
        <f>COUNTIFS(汇总表!P:P,"企业负责人",汇总表!#REF!,"主席")+COUNTIFS(汇总表!P:P,"企业负责人",汇总表!#REF!,"副主席")+COUNTIFS(汇总表!P:P,"企业负责人",汇总表!#REF!,"常委")</f>
        <v>#REF!</v>
      </c>
    </row>
    <row r="41" spans="3:17">
      <c r="C41" s="45" t="s">
        <v>37</v>
      </c>
      <c r="D41" s="45">
        <v>2</v>
      </c>
      <c r="E41" s="45">
        <v>3</v>
      </c>
      <c r="F41" s="45">
        <v>1</v>
      </c>
      <c r="G41" s="59"/>
      <c r="H41" s="45"/>
      <c r="I41" s="45" t="s">
        <v>16</v>
      </c>
      <c r="J41" s="47" t="e">
        <f>J40/J42</f>
        <v>#REF!</v>
      </c>
      <c r="K41" s="47" t="e">
        <f t="shared" si="1"/>
        <v>#REF!</v>
      </c>
      <c r="L41" s="47" t="e">
        <f t="shared" si="2"/>
        <v>#REF!</v>
      </c>
      <c r="M41" s="47" t="e">
        <f t="shared" si="3"/>
        <v>#REF!</v>
      </c>
      <c r="N41" s="47" t="e">
        <f t="shared" si="4"/>
        <v>#REF!</v>
      </c>
      <c r="O41" s="47" t="e">
        <f t="shared" si="5"/>
        <v>#REF!</v>
      </c>
      <c r="P41" s="47" t="e">
        <f t="shared" si="6"/>
        <v>#REF!</v>
      </c>
      <c r="Q41" s="47" t="e">
        <f t="shared" si="7"/>
        <v>#REF!</v>
      </c>
    </row>
    <row r="42" spans="7:17">
      <c r="G42" s="59"/>
      <c r="H42" s="45" t="s">
        <v>32</v>
      </c>
      <c r="I42" s="54" t="s">
        <v>15</v>
      </c>
      <c r="J42" s="55">
        <f>P5+D41</f>
        <v>47</v>
      </c>
      <c r="K42" s="51">
        <f>COUNTIF(汇总表!J:J,"中共党员")+COUNTIF(汇总表!J:J,"中共预备党员")</f>
        <v>25</v>
      </c>
      <c r="L42" s="46">
        <f>COUNTIF(汇总表!E:E,"女")</f>
        <v>12</v>
      </c>
      <c r="M42" s="46">
        <f>COUNTIF(汇总表!O:O,"科学技术")+COUNTIF(汇总表!O:O,"教育")+COUNTIF(汇总表!O:O,"医药卫生")+COUNTIF(汇总表!O:O,"文化艺术体育")+COUNTIF(汇总表!O:O,"法律")+COUNTIF(汇总表!O:O,"新闻出版和传媒")</f>
        <v>22</v>
      </c>
      <c r="N42" s="46">
        <f>J42-COUNTIF(汇总表!I:I,"汉")</f>
        <v>6</v>
      </c>
      <c r="O42" s="46">
        <f>COUNTIF(汇总表!P:P,"一线劳动者")</f>
        <v>5</v>
      </c>
      <c r="P42" s="46">
        <f>COUNTIF(汇总表!P:P,"党政干部")</f>
        <v>1</v>
      </c>
      <c r="Q42" s="46">
        <f>COUNTIF(汇总表!P:P,"企业负责人")</f>
        <v>15</v>
      </c>
    </row>
    <row r="43" spans="7:17">
      <c r="G43" s="59"/>
      <c r="H43" s="45"/>
      <c r="I43" s="56"/>
      <c r="J43" s="57"/>
      <c r="K43" s="47">
        <f t="shared" si="1"/>
        <v>0.531914893617021</v>
      </c>
      <c r="L43" s="47">
        <f t="shared" si="2"/>
        <v>0.25531914893617</v>
      </c>
      <c r="M43" s="47">
        <f t="shared" si="3"/>
        <v>0.468085106382979</v>
      </c>
      <c r="N43" s="47">
        <f t="shared" si="4"/>
        <v>0.127659574468085</v>
      </c>
      <c r="O43" s="47">
        <f t="shared" si="5"/>
        <v>0.106382978723404</v>
      </c>
      <c r="P43" s="47">
        <f t="shared" si="6"/>
        <v>0.0212765957446809</v>
      </c>
      <c r="Q43" s="47">
        <f t="shared" si="7"/>
        <v>0.319148936170213</v>
      </c>
    </row>
    <row r="45" s="41" customFormat="1" spans="2:17">
      <c r="B45" s="60" t="s">
        <v>38</v>
      </c>
      <c r="C45" s="61" t="s">
        <v>39</v>
      </c>
      <c r="D45" s="61"/>
      <c r="E45" s="61"/>
      <c r="F45" s="61"/>
      <c r="G45" s="61"/>
      <c r="H45" s="61"/>
      <c r="I45" s="61"/>
      <c r="J45" s="75" t="s">
        <v>38</v>
      </c>
      <c r="K45" s="61" t="s">
        <v>40</v>
      </c>
      <c r="L45" s="61"/>
      <c r="M45" s="61"/>
      <c r="N45" s="61"/>
      <c r="O45" s="61"/>
      <c r="P45" s="61"/>
      <c r="Q45" s="78"/>
    </row>
    <row r="46" s="41" customFormat="1" spans="2:17">
      <c r="B46" s="62" t="s">
        <v>41</v>
      </c>
      <c r="C46" s="63" t="s">
        <v>42</v>
      </c>
      <c r="D46" s="63"/>
      <c r="E46" s="63"/>
      <c r="F46" s="63"/>
      <c r="G46" s="63"/>
      <c r="H46" s="63"/>
      <c r="I46" s="63"/>
      <c r="J46" s="76" t="s">
        <v>41</v>
      </c>
      <c r="K46" s="63" t="s">
        <v>43</v>
      </c>
      <c r="L46" s="63"/>
      <c r="M46" s="63"/>
      <c r="N46" s="63"/>
      <c r="O46" s="63"/>
      <c r="P46" s="63"/>
      <c r="Q46" s="79"/>
    </row>
    <row r="47" s="41" customFormat="1" spans="2:17">
      <c r="B47" s="62" t="s">
        <v>44</v>
      </c>
      <c r="C47" s="63" t="s">
        <v>45</v>
      </c>
      <c r="D47" s="63"/>
      <c r="E47" s="63"/>
      <c r="F47" s="63"/>
      <c r="G47" s="63"/>
      <c r="H47" s="63"/>
      <c r="I47" s="63"/>
      <c r="J47" s="76" t="s">
        <v>44</v>
      </c>
      <c r="K47" s="63" t="s">
        <v>46</v>
      </c>
      <c r="L47" s="63"/>
      <c r="M47" s="63"/>
      <c r="N47" s="63"/>
      <c r="O47" s="63"/>
      <c r="P47" s="63"/>
      <c r="Q47" s="79"/>
    </row>
    <row r="48" s="41" customFormat="1" spans="2:17">
      <c r="B48" s="62" t="s">
        <v>47</v>
      </c>
      <c r="C48" s="63" t="s">
        <v>48</v>
      </c>
      <c r="D48" s="63"/>
      <c r="E48" s="63"/>
      <c r="F48" s="63"/>
      <c r="G48" s="63"/>
      <c r="H48" s="63"/>
      <c r="I48" s="63"/>
      <c r="J48" s="76" t="s">
        <v>47</v>
      </c>
      <c r="K48" s="63" t="s">
        <v>49</v>
      </c>
      <c r="L48" s="63"/>
      <c r="M48" s="63"/>
      <c r="N48" s="63"/>
      <c r="O48" s="63"/>
      <c r="P48" s="63"/>
      <c r="Q48" s="79"/>
    </row>
    <row r="49" s="41" customFormat="1" spans="2:17">
      <c r="B49" s="62" t="s">
        <v>50</v>
      </c>
      <c r="C49" s="63" t="s">
        <v>51</v>
      </c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79"/>
    </row>
    <row r="50" s="41" customFormat="1" spans="2:17">
      <c r="B50" s="62" t="s">
        <v>52</v>
      </c>
      <c r="C50" s="63" t="s">
        <v>53</v>
      </c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79"/>
    </row>
    <row r="51" s="41" customFormat="1" spans="2:17">
      <c r="B51" s="62" t="s">
        <v>54</v>
      </c>
      <c r="C51" s="63" t="s">
        <v>55</v>
      </c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79"/>
    </row>
    <row r="52" s="41" customFormat="1" spans="2:17">
      <c r="B52" s="62" t="s">
        <v>56</v>
      </c>
      <c r="C52" s="63" t="s">
        <v>57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79"/>
    </row>
    <row r="53" s="41" customFormat="1" spans="2:17">
      <c r="B53" s="64" t="s">
        <v>58</v>
      </c>
      <c r="C53" s="65" t="s">
        <v>59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80"/>
    </row>
    <row r="54" s="41" customFormat="1"/>
    <row r="55" s="41" customFormat="1"/>
    <row r="56" s="41" customFormat="1"/>
    <row r="57" s="41" customFormat="1"/>
    <row r="58" s="41" customFormat="1"/>
  </sheetData>
  <mergeCells count="42">
    <mergeCell ref="B2:Q2"/>
    <mergeCell ref="P5:Q5"/>
    <mergeCell ref="P6:Q6"/>
    <mergeCell ref="P7:Q7"/>
    <mergeCell ref="B29:D29"/>
    <mergeCell ref="L29:M29"/>
    <mergeCell ref="L30:M30"/>
    <mergeCell ref="O30:Q30"/>
    <mergeCell ref="L31:M31"/>
    <mergeCell ref="L32:M32"/>
    <mergeCell ref="L33:M33"/>
    <mergeCell ref="L34:M34"/>
    <mergeCell ref="L35:M35"/>
    <mergeCell ref="H37:J37"/>
    <mergeCell ref="C38:F38"/>
    <mergeCell ref="A3:A4"/>
    <mergeCell ref="B3:B4"/>
    <mergeCell ref="B30:B31"/>
    <mergeCell ref="B32:B33"/>
    <mergeCell ref="B34:B35"/>
    <mergeCell ref="C3:C4"/>
    <mergeCell ref="C34:C35"/>
    <mergeCell ref="D3:D4"/>
    <mergeCell ref="D34:D35"/>
    <mergeCell ref="E3:E4"/>
    <mergeCell ref="F3:F4"/>
    <mergeCell ref="G3:G4"/>
    <mergeCell ref="G37:G43"/>
    <mergeCell ref="H3:H4"/>
    <mergeCell ref="H38:H39"/>
    <mergeCell ref="H40:H41"/>
    <mergeCell ref="H42:H43"/>
    <mergeCell ref="I3:I4"/>
    <mergeCell ref="I42:I43"/>
    <mergeCell ref="J3:J4"/>
    <mergeCell ref="J42:J43"/>
    <mergeCell ref="K3:K4"/>
    <mergeCell ref="L3:L4"/>
    <mergeCell ref="M3:M4"/>
    <mergeCell ref="N3:N4"/>
    <mergeCell ref="O3:O4"/>
    <mergeCell ref="P3:Q4"/>
  </mergeCells>
  <conditionalFormatting sqref="C7:P7">
    <cfRule type="cellIs" dxfId="0" priority="68" operator="greaterThan">
      <formula>33</formula>
    </cfRule>
  </conditionalFormatting>
  <conditionalFormatting sqref="D31">
    <cfRule type="cellIs" dxfId="1" priority="6" operator="greaterThan">
      <formula>0.2</formula>
    </cfRule>
  </conditionalFormatting>
  <conditionalFormatting sqref="E31">
    <cfRule type="cellIs" dxfId="1" priority="30" operator="greaterThan">
      <formula>0.55</formula>
    </cfRule>
  </conditionalFormatting>
  <conditionalFormatting sqref="G31">
    <cfRule type="cellIs" dxfId="1" priority="59" operator="lessThan">
      <formula>0.2</formula>
    </cfRule>
  </conditionalFormatting>
  <conditionalFormatting sqref="H31">
    <cfRule type="cellIs" dxfId="1" priority="58" operator="lessThan">
      <formula>$Q$32</formula>
    </cfRule>
  </conditionalFormatting>
  <conditionalFormatting sqref="I31">
    <cfRule type="cellIs" dxfId="1" priority="61" operator="lessThan">
      <formula>0.1</formula>
    </cfRule>
  </conditionalFormatting>
  <conditionalFormatting sqref="J31">
    <cfRule type="cellIs" dxfId="1" priority="14" operator="greaterThanOrEqual">
      <formula>0.05</formula>
    </cfRule>
  </conditionalFormatting>
  <conditionalFormatting sqref="K31">
    <cfRule type="cellIs" dxfId="1" priority="57" operator="greaterThan">
      <formula>0.2</formula>
    </cfRule>
  </conditionalFormatting>
  <conditionalFormatting sqref="Q32">
    <cfRule type="cellIs" dxfId="1" priority="10" operator="greaterThanOrEqual">
      <formula>0.05</formula>
    </cfRule>
  </conditionalFormatting>
  <conditionalFormatting sqref="D33">
    <cfRule type="cellIs" dxfId="1" priority="7" operator="greaterThan">
      <formula>0.2</formula>
    </cfRule>
  </conditionalFormatting>
  <conditionalFormatting sqref="E33">
    <cfRule type="cellIs" dxfId="1" priority="28" operator="greaterThan">
      <formula>0.55</formula>
    </cfRule>
  </conditionalFormatting>
  <conditionalFormatting sqref="F33">
    <cfRule type="cellIs" dxfId="1" priority="50" operator="lessThan">
      <formula>0.2</formula>
    </cfRule>
  </conditionalFormatting>
  <conditionalFormatting sqref="G33">
    <cfRule type="cellIs" dxfId="1" priority="49" operator="lessThan">
      <formula>0.2</formula>
    </cfRule>
  </conditionalFormatting>
  <conditionalFormatting sqref="H33">
    <cfRule type="cellIs" dxfId="1" priority="9" operator="lessThan">
      <formula>$Q$32</formula>
    </cfRule>
  </conditionalFormatting>
  <conditionalFormatting sqref="I33">
    <cfRule type="cellIs" dxfId="1" priority="51" operator="lessThan">
      <formula>0.1</formula>
    </cfRule>
  </conditionalFormatting>
  <conditionalFormatting sqref="J33">
    <cfRule type="cellIs" dxfId="1" priority="15" operator="greaterThanOrEqual">
      <formula>0.05</formula>
    </cfRule>
  </conditionalFormatting>
  <conditionalFormatting sqref="K33">
    <cfRule type="cellIs" dxfId="1" priority="47" operator="greaterThan">
      <formula>0.2</formula>
    </cfRule>
  </conditionalFormatting>
  <conditionalFormatting sqref="E35">
    <cfRule type="cellIs" dxfId="1" priority="26" operator="greaterThan">
      <formula>0.55</formula>
    </cfRule>
  </conditionalFormatting>
  <conditionalFormatting sqref="F35">
    <cfRule type="cellIs" dxfId="1" priority="66" operator="lessThan">
      <formula>0.2</formula>
    </cfRule>
  </conditionalFormatting>
  <conditionalFormatting sqref="G35">
    <cfRule type="cellIs" dxfId="1" priority="64" operator="lessThan">
      <formula>0.2</formula>
    </cfRule>
  </conditionalFormatting>
  <conditionalFormatting sqref="H35">
    <cfRule type="cellIs" dxfId="1" priority="8" operator="lessThan">
      <formula>$Q$32</formula>
    </cfRule>
  </conditionalFormatting>
  <conditionalFormatting sqref="I35">
    <cfRule type="cellIs" dxfId="1" priority="67" operator="lessThan">
      <formula>0.1</formula>
    </cfRule>
  </conditionalFormatting>
  <conditionalFormatting sqref="J35">
    <cfRule type="cellIs" dxfId="1" priority="16" operator="greaterThanOrEqual">
      <formula>0.05</formula>
    </cfRule>
  </conditionalFormatting>
  <conditionalFormatting sqref="K35">
    <cfRule type="cellIs" dxfId="1" priority="62" operator="greaterThan">
      <formula>0.2</formula>
    </cfRule>
  </conditionalFormatting>
  <conditionalFormatting sqref="J39">
    <cfRule type="cellIs" dxfId="1" priority="5" operator="greaterThan">
      <formula>0.2</formula>
    </cfRule>
  </conditionalFormatting>
  <conditionalFormatting sqref="K39">
    <cfRule type="cellIs" dxfId="1" priority="24" operator="greaterThan">
      <formula>0.55</formula>
    </cfRule>
  </conditionalFormatting>
  <conditionalFormatting sqref="L39">
    <cfRule type="cellIs" dxfId="1" priority="40" operator="lessThan">
      <formula>0.2</formula>
    </cfRule>
  </conditionalFormatting>
  <conditionalFormatting sqref="M39">
    <cfRule type="cellIs" dxfId="1" priority="39" operator="lessThan">
      <formula>0.2</formula>
    </cfRule>
  </conditionalFormatting>
  <conditionalFormatting sqref="N39">
    <cfRule type="cellIs" dxfId="1" priority="38" operator="lessThan">
      <formula>0.01</formula>
    </cfRule>
  </conditionalFormatting>
  <conditionalFormatting sqref="O39">
    <cfRule type="cellIs" dxfId="1" priority="41" operator="lessThan">
      <formula>0.1</formula>
    </cfRule>
  </conditionalFormatting>
  <conditionalFormatting sqref="P39">
    <cfRule type="cellIs" dxfId="1" priority="13" operator="greaterThanOrEqual">
      <formula>0.05</formula>
    </cfRule>
  </conditionalFormatting>
  <conditionalFormatting sqref="Q39">
    <cfRule type="cellIs" dxfId="1" priority="37" operator="greaterThan">
      <formula>0.2</formula>
    </cfRule>
  </conditionalFormatting>
  <conditionalFormatting sqref="D41">
    <cfRule type="cellIs" dxfId="1" priority="65" operator="greaterThan">
      <formula>$D$40</formula>
    </cfRule>
  </conditionalFormatting>
  <conditionalFormatting sqref="J41">
    <cfRule type="cellIs" dxfId="1" priority="4" operator="greaterThan">
      <formula>0.2</formula>
    </cfRule>
  </conditionalFormatting>
  <conditionalFormatting sqref="K41">
    <cfRule type="cellIs" dxfId="1" priority="1" operator="greaterThan">
      <formula>0.55</formula>
    </cfRule>
  </conditionalFormatting>
  <conditionalFormatting sqref="L41">
    <cfRule type="cellIs" dxfId="1" priority="35" operator="lessThan">
      <formula>0.2</formula>
    </cfRule>
  </conditionalFormatting>
  <conditionalFormatting sqref="M41">
    <cfRule type="cellIs" dxfId="1" priority="34" operator="lessThan">
      <formula>0.2</formula>
    </cfRule>
  </conditionalFormatting>
  <conditionalFormatting sqref="N41">
    <cfRule type="cellIs" dxfId="1" priority="33" operator="lessThan">
      <formula>0.01</formula>
    </cfRule>
  </conditionalFormatting>
  <conditionalFormatting sqref="O41">
    <cfRule type="cellIs" dxfId="1" priority="36" operator="lessThan">
      <formula>0.1</formula>
    </cfRule>
  </conditionalFormatting>
  <conditionalFormatting sqref="P41">
    <cfRule type="cellIs" dxfId="1" priority="12" operator="greaterThanOrEqual">
      <formula>0.05</formula>
    </cfRule>
  </conditionalFormatting>
  <conditionalFormatting sqref="Q41">
    <cfRule type="cellIs" dxfId="1" priority="32" operator="greaterThan">
      <formula>0.2</formula>
    </cfRule>
  </conditionalFormatting>
  <conditionalFormatting sqref="K43">
    <cfRule type="cellIs" dxfId="1" priority="2" operator="greaterThan">
      <formula>0.55</formula>
    </cfRule>
  </conditionalFormatting>
  <conditionalFormatting sqref="L43">
    <cfRule type="cellIs" dxfId="1" priority="45" operator="lessThan">
      <formula>0.2</formula>
    </cfRule>
  </conditionalFormatting>
  <conditionalFormatting sqref="M43">
    <cfRule type="cellIs" dxfId="1" priority="44" operator="lessThan">
      <formula>0.2</formula>
    </cfRule>
  </conditionalFormatting>
  <conditionalFormatting sqref="N43">
    <cfRule type="cellIs" dxfId="1" priority="43" operator="lessThan">
      <formula>0.01</formula>
    </cfRule>
  </conditionalFormatting>
  <conditionalFormatting sqref="O43">
    <cfRule type="cellIs" dxfId="1" priority="46" operator="lessThan">
      <formula>0.1</formula>
    </cfRule>
  </conditionalFormatting>
  <conditionalFormatting sqref="P43">
    <cfRule type="cellIs" dxfId="1" priority="11" operator="greaterThanOrEqual">
      <formula>0.05</formula>
    </cfRule>
  </conditionalFormatting>
  <conditionalFormatting sqref="Q43">
    <cfRule type="cellIs" dxfId="1" priority="42" operator="greaterThan">
      <formula>0.2</formula>
    </cfRule>
  </conditionalFormatting>
  <printOptions horizontalCentered="1" verticalCentered="1"/>
  <pageMargins left="0.393055555555556" right="0.393055555555556" top="1" bottom="1" header="0.393055555555556" footer="0.393055555555556"/>
  <pageSetup paperSize="9" scale="69" orientation="landscape" horizontalDpi="600"/>
  <headerFooter/>
  <ignoredErrors>
    <ignoredError sqref="D32 J40:M40 K42:M42 K32:L32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tabSelected="1" workbookViewId="0">
      <pane ySplit="2" topLeftCell="A3" activePane="bottomLeft" state="frozen"/>
      <selection/>
      <selection pane="bottomLeft" activeCell="S7" sqref="S7"/>
    </sheetView>
  </sheetViews>
  <sheetFormatPr defaultColWidth="9.00833333333333" defaultRowHeight="14.25"/>
  <cols>
    <col min="1" max="1" width="5.125" style="5" hidden="1" customWidth="1"/>
    <col min="2" max="2" width="11.7583333333333" style="5" hidden="1" customWidth="1"/>
    <col min="3" max="3" width="4.875" style="5" customWidth="1"/>
    <col min="4" max="4" width="7.49166666666667" style="5" customWidth="1"/>
    <col min="5" max="5" width="5.375" style="5" customWidth="1"/>
    <col min="6" max="6" width="9.00833333333333" style="6" customWidth="1"/>
    <col min="7" max="7" width="9" style="7" customWidth="1"/>
    <col min="8" max="8" width="9.00833333333333" style="5" customWidth="1"/>
    <col min="9" max="9" width="4.625" style="5" customWidth="1"/>
    <col min="10" max="11" width="9.00833333333333" style="5" customWidth="1"/>
    <col min="12" max="12" width="15.25" style="5" customWidth="1"/>
    <col min="13" max="17" width="9.00833333333333" style="5" customWidth="1"/>
    <col min="18" max="18" width="10.875" style="5" customWidth="1"/>
    <col min="19" max="16373" width="9.00833333333333" style="5" customWidth="1"/>
    <col min="16374" max="16384" width="9.00833333333333" style="5"/>
  </cols>
  <sheetData>
    <row r="1" s="1" customFormat="1" ht="35" customHeight="1" spans="1:18">
      <c r="A1" s="8" t="s">
        <v>60</v>
      </c>
      <c r="B1" s="8"/>
      <c r="C1" s="8"/>
      <c r="D1" s="8"/>
      <c r="E1" s="8"/>
      <c r="F1" s="9"/>
      <c r="G1" s="10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2" customFormat="1" ht="22.5" spans="1:22">
      <c r="A2" s="11" t="s">
        <v>61</v>
      </c>
      <c r="B2" s="11" t="s">
        <v>62</v>
      </c>
      <c r="C2" s="11" t="s">
        <v>63</v>
      </c>
      <c r="D2" s="11" t="s">
        <v>64</v>
      </c>
      <c r="E2" s="11" t="s">
        <v>65</v>
      </c>
      <c r="F2" s="12" t="s">
        <v>66</v>
      </c>
      <c r="G2" s="13" t="s">
        <v>67</v>
      </c>
      <c r="H2" s="11" t="s">
        <v>68</v>
      </c>
      <c r="I2" s="11" t="s">
        <v>69</v>
      </c>
      <c r="J2" s="11" t="s">
        <v>70</v>
      </c>
      <c r="K2" s="11" t="s">
        <v>71</v>
      </c>
      <c r="L2" s="11" t="s">
        <v>72</v>
      </c>
      <c r="M2" s="11" t="s">
        <v>73</v>
      </c>
      <c r="N2" s="11" t="s">
        <v>74</v>
      </c>
      <c r="O2" s="11" t="s">
        <v>75</v>
      </c>
      <c r="P2" s="11" t="s">
        <v>24</v>
      </c>
      <c r="Q2" s="11" t="s">
        <v>76</v>
      </c>
      <c r="R2" s="11" t="s">
        <v>77</v>
      </c>
      <c r="S2" s="39"/>
      <c r="T2" s="39"/>
      <c r="U2" s="39"/>
      <c r="V2" s="39"/>
    </row>
    <row r="3" s="3" customFormat="1" ht="35" customHeight="1" spans="1:18">
      <c r="A3" s="14"/>
      <c r="B3" s="14"/>
      <c r="C3" s="15">
        <v>1</v>
      </c>
      <c r="D3" s="16" t="s">
        <v>78</v>
      </c>
      <c r="E3" s="16" t="s">
        <v>79</v>
      </c>
      <c r="F3" s="17">
        <v>31564</v>
      </c>
      <c r="G3" s="18">
        <v>32</v>
      </c>
      <c r="H3" s="19" t="s">
        <v>80</v>
      </c>
      <c r="I3" s="19" t="s">
        <v>81</v>
      </c>
      <c r="J3" s="19" t="s">
        <v>18</v>
      </c>
      <c r="K3" s="19" t="s">
        <v>82</v>
      </c>
      <c r="L3" s="19" t="s">
        <v>83</v>
      </c>
      <c r="M3" s="36" t="s">
        <v>84</v>
      </c>
      <c r="N3" s="36" t="s">
        <v>85</v>
      </c>
      <c r="O3" s="36" t="s">
        <v>1</v>
      </c>
      <c r="P3" s="36" t="s">
        <v>1</v>
      </c>
      <c r="Q3" s="23" t="s">
        <v>84</v>
      </c>
      <c r="R3" s="36" t="s">
        <v>86</v>
      </c>
    </row>
    <row r="4" s="3" customFormat="1" ht="35" customHeight="1" spans="1:18">
      <c r="A4" s="14"/>
      <c r="B4" s="14"/>
      <c r="C4" s="15">
        <v>2</v>
      </c>
      <c r="D4" s="15" t="s">
        <v>87</v>
      </c>
      <c r="E4" s="15" t="s">
        <v>79</v>
      </c>
      <c r="F4" s="20">
        <v>31229</v>
      </c>
      <c r="G4" s="21">
        <v>34</v>
      </c>
      <c r="H4" s="15" t="s">
        <v>88</v>
      </c>
      <c r="I4" s="15" t="s">
        <v>81</v>
      </c>
      <c r="J4" s="15" t="s">
        <v>18</v>
      </c>
      <c r="K4" s="15" t="s">
        <v>89</v>
      </c>
      <c r="L4" s="15" t="s">
        <v>90</v>
      </c>
      <c r="M4" s="15" t="s">
        <v>84</v>
      </c>
      <c r="N4" s="15" t="s">
        <v>85</v>
      </c>
      <c r="O4" s="15" t="s">
        <v>1</v>
      </c>
      <c r="P4" s="15" t="s">
        <v>1</v>
      </c>
      <c r="Q4" s="15" t="s">
        <v>84</v>
      </c>
      <c r="R4" s="40" t="s">
        <v>84</v>
      </c>
    </row>
    <row r="5" s="3" customFormat="1" ht="35" customHeight="1" spans="1:18">
      <c r="A5" s="14"/>
      <c r="B5" s="14"/>
      <c r="C5" s="15">
        <v>3</v>
      </c>
      <c r="D5" s="15" t="s">
        <v>91</v>
      </c>
      <c r="E5" s="15" t="s">
        <v>92</v>
      </c>
      <c r="F5" s="22">
        <v>31168</v>
      </c>
      <c r="G5" s="21">
        <v>33</v>
      </c>
      <c r="H5" s="15" t="s">
        <v>93</v>
      </c>
      <c r="I5" s="15" t="s">
        <v>81</v>
      </c>
      <c r="J5" s="15" t="s">
        <v>18</v>
      </c>
      <c r="K5" s="15" t="s">
        <v>89</v>
      </c>
      <c r="L5" s="15" t="s">
        <v>94</v>
      </c>
      <c r="M5" s="15" t="s">
        <v>95</v>
      </c>
      <c r="N5" s="15" t="s">
        <v>84</v>
      </c>
      <c r="O5" s="15" t="s">
        <v>11</v>
      </c>
      <c r="P5" s="15" t="s">
        <v>96</v>
      </c>
      <c r="Q5" s="15" t="s">
        <v>84</v>
      </c>
      <c r="R5" s="15" t="s">
        <v>97</v>
      </c>
    </row>
    <row r="6" s="3" customFormat="1" ht="35" customHeight="1" spans="1:18">
      <c r="A6" s="14"/>
      <c r="B6" s="14"/>
      <c r="C6" s="15">
        <v>4</v>
      </c>
      <c r="D6" s="23" t="s">
        <v>98</v>
      </c>
      <c r="E6" s="23" t="s">
        <v>79</v>
      </c>
      <c r="F6" s="24">
        <v>31472</v>
      </c>
      <c r="G6" s="25">
        <v>32</v>
      </c>
      <c r="H6" s="23" t="s">
        <v>93</v>
      </c>
      <c r="I6" s="23" t="s">
        <v>81</v>
      </c>
      <c r="J6" s="23" t="s">
        <v>18</v>
      </c>
      <c r="K6" s="23" t="s">
        <v>99</v>
      </c>
      <c r="L6" s="23" t="s">
        <v>100</v>
      </c>
      <c r="M6" s="23" t="s">
        <v>101</v>
      </c>
      <c r="N6" s="23" t="s">
        <v>84</v>
      </c>
      <c r="O6" s="23" t="s">
        <v>4</v>
      </c>
      <c r="P6" s="23" t="s">
        <v>24</v>
      </c>
      <c r="Q6" s="23" t="s">
        <v>84</v>
      </c>
      <c r="R6" s="23" t="s">
        <v>102</v>
      </c>
    </row>
    <row r="7" s="3" customFormat="1" ht="35" customHeight="1" spans="1:18">
      <c r="A7" s="14"/>
      <c r="B7" s="14"/>
      <c r="C7" s="15">
        <v>5</v>
      </c>
      <c r="D7" s="15" t="s">
        <v>103</v>
      </c>
      <c r="E7" s="15" t="s">
        <v>79</v>
      </c>
      <c r="F7" s="20">
        <v>32874</v>
      </c>
      <c r="G7" s="21">
        <v>28</v>
      </c>
      <c r="H7" s="15" t="s">
        <v>104</v>
      </c>
      <c r="I7" s="15" t="s">
        <v>81</v>
      </c>
      <c r="J7" s="15" t="s">
        <v>105</v>
      </c>
      <c r="K7" s="15" t="s">
        <v>99</v>
      </c>
      <c r="L7" s="15" t="s">
        <v>106</v>
      </c>
      <c r="M7" s="15" t="s">
        <v>84</v>
      </c>
      <c r="N7" s="15" t="s">
        <v>84</v>
      </c>
      <c r="O7" s="15" t="s">
        <v>13</v>
      </c>
      <c r="P7" s="15" t="s">
        <v>22</v>
      </c>
      <c r="Q7" s="15" t="s">
        <v>107</v>
      </c>
      <c r="R7" s="15" t="s">
        <v>108</v>
      </c>
    </row>
    <row r="8" s="3" customFormat="1" ht="35" customHeight="1" spans="1:18">
      <c r="A8" s="14"/>
      <c r="B8" s="14"/>
      <c r="C8" s="15">
        <v>6</v>
      </c>
      <c r="D8" s="15" t="s">
        <v>109</v>
      </c>
      <c r="E8" s="15" t="s">
        <v>79</v>
      </c>
      <c r="F8" s="20">
        <v>30956</v>
      </c>
      <c r="G8" s="21">
        <v>20</v>
      </c>
      <c r="H8" s="15" t="s">
        <v>110</v>
      </c>
      <c r="I8" s="15" t="s">
        <v>81</v>
      </c>
      <c r="J8" s="15" t="s">
        <v>18</v>
      </c>
      <c r="K8" s="15" t="s">
        <v>89</v>
      </c>
      <c r="L8" s="15" t="s">
        <v>111</v>
      </c>
      <c r="M8" s="15" t="s">
        <v>112</v>
      </c>
      <c r="N8" s="15" t="s">
        <v>84</v>
      </c>
      <c r="O8" s="15" t="s">
        <v>11</v>
      </c>
      <c r="P8" s="15" t="s">
        <v>96</v>
      </c>
      <c r="Q8" s="15" t="s">
        <v>84</v>
      </c>
      <c r="R8" s="15" t="s">
        <v>113</v>
      </c>
    </row>
    <row r="9" s="3" customFormat="1" ht="35" customHeight="1" spans="1:18">
      <c r="A9" s="14"/>
      <c r="B9" s="14"/>
      <c r="C9" s="15">
        <v>7</v>
      </c>
      <c r="D9" s="26" t="s">
        <v>114</v>
      </c>
      <c r="E9" s="27" t="s">
        <v>92</v>
      </c>
      <c r="F9" s="28">
        <v>32174</v>
      </c>
      <c r="G9" s="29">
        <v>30</v>
      </c>
      <c r="H9" s="27" t="s">
        <v>115</v>
      </c>
      <c r="I9" s="27" t="s">
        <v>81</v>
      </c>
      <c r="J9" s="27" t="s">
        <v>105</v>
      </c>
      <c r="K9" s="27" t="s">
        <v>99</v>
      </c>
      <c r="L9" s="27" t="s">
        <v>116</v>
      </c>
      <c r="M9" s="27" t="s">
        <v>84</v>
      </c>
      <c r="N9" s="27" t="s">
        <v>84</v>
      </c>
      <c r="O9" s="27" t="s">
        <v>3</v>
      </c>
      <c r="P9" s="27" t="s">
        <v>117</v>
      </c>
      <c r="Q9" s="27" t="s">
        <v>84</v>
      </c>
      <c r="R9" s="27" t="s">
        <v>84</v>
      </c>
    </row>
    <row r="10" s="3" customFormat="1" ht="35" customHeight="1" spans="1:18">
      <c r="A10" s="14"/>
      <c r="B10" s="14"/>
      <c r="C10" s="15">
        <v>8</v>
      </c>
      <c r="D10" s="15" t="s">
        <v>118</v>
      </c>
      <c r="E10" s="15" t="s">
        <v>79</v>
      </c>
      <c r="F10" s="20">
        <v>31625</v>
      </c>
      <c r="G10" s="21">
        <v>32</v>
      </c>
      <c r="H10" s="15" t="s">
        <v>115</v>
      </c>
      <c r="I10" s="15" t="s">
        <v>81</v>
      </c>
      <c r="J10" s="15" t="s">
        <v>18</v>
      </c>
      <c r="K10" s="15" t="s">
        <v>89</v>
      </c>
      <c r="L10" s="15" t="s">
        <v>119</v>
      </c>
      <c r="M10" s="15" t="s">
        <v>120</v>
      </c>
      <c r="N10" s="15" t="s">
        <v>84</v>
      </c>
      <c r="O10" s="15" t="s">
        <v>3</v>
      </c>
      <c r="P10" s="15" t="s">
        <v>117</v>
      </c>
      <c r="Q10" s="15" t="s">
        <v>84</v>
      </c>
      <c r="R10" s="15" t="s">
        <v>121</v>
      </c>
    </row>
    <row r="11" s="3" customFormat="1" ht="35" customHeight="1" spans="1:18">
      <c r="A11" s="14"/>
      <c r="B11" s="14"/>
      <c r="C11" s="15">
        <v>9</v>
      </c>
      <c r="D11" s="15" t="s">
        <v>122</v>
      </c>
      <c r="E11" s="15" t="s">
        <v>79</v>
      </c>
      <c r="F11" s="22">
        <v>33055</v>
      </c>
      <c r="G11" s="21">
        <v>29</v>
      </c>
      <c r="H11" s="15" t="s">
        <v>115</v>
      </c>
      <c r="I11" s="15" t="s">
        <v>81</v>
      </c>
      <c r="J11" s="15" t="s">
        <v>105</v>
      </c>
      <c r="K11" s="15" t="s">
        <v>89</v>
      </c>
      <c r="L11" s="15" t="s">
        <v>123</v>
      </c>
      <c r="M11" s="15" t="s">
        <v>84</v>
      </c>
      <c r="N11" s="15" t="s">
        <v>84</v>
      </c>
      <c r="O11" s="15" t="s">
        <v>4</v>
      </c>
      <c r="P11" s="15" t="s">
        <v>24</v>
      </c>
      <c r="Q11" s="15" t="s">
        <v>84</v>
      </c>
      <c r="R11" s="15" t="s">
        <v>84</v>
      </c>
    </row>
    <row r="12" s="3" customFormat="1" ht="35" customHeight="1" spans="1:18">
      <c r="A12" s="14"/>
      <c r="B12" s="14"/>
      <c r="C12" s="15">
        <v>10</v>
      </c>
      <c r="D12" s="15" t="s">
        <v>124</v>
      </c>
      <c r="E12" s="15" t="s">
        <v>79</v>
      </c>
      <c r="F12" s="22">
        <v>34881</v>
      </c>
      <c r="G12" s="21">
        <v>24</v>
      </c>
      <c r="H12" s="15" t="s">
        <v>115</v>
      </c>
      <c r="I12" s="15" t="s">
        <v>81</v>
      </c>
      <c r="J12" s="15" t="s">
        <v>125</v>
      </c>
      <c r="K12" s="15" t="s">
        <v>89</v>
      </c>
      <c r="L12" s="15" t="s">
        <v>126</v>
      </c>
      <c r="M12" s="15" t="s">
        <v>84</v>
      </c>
      <c r="N12" s="15" t="s">
        <v>84</v>
      </c>
      <c r="O12" s="15" t="s">
        <v>12</v>
      </c>
      <c r="P12" s="15" t="s">
        <v>127</v>
      </c>
      <c r="Q12" s="15" t="s">
        <v>128</v>
      </c>
      <c r="R12" s="15" t="s">
        <v>129</v>
      </c>
    </row>
    <row r="13" s="3" customFormat="1" ht="35" customHeight="1" spans="1:18">
      <c r="A13" s="14"/>
      <c r="B13" s="14"/>
      <c r="C13" s="15">
        <v>11</v>
      </c>
      <c r="D13" s="15" t="s">
        <v>130</v>
      </c>
      <c r="E13" s="15" t="s">
        <v>79</v>
      </c>
      <c r="F13" s="22">
        <v>31352</v>
      </c>
      <c r="G13" s="21">
        <v>33</v>
      </c>
      <c r="H13" s="15" t="s">
        <v>110</v>
      </c>
      <c r="I13" s="15" t="s">
        <v>81</v>
      </c>
      <c r="J13" s="15" t="s">
        <v>18</v>
      </c>
      <c r="K13" s="15" t="s">
        <v>131</v>
      </c>
      <c r="L13" s="15" t="s">
        <v>132</v>
      </c>
      <c r="M13" s="15" t="s">
        <v>84</v>
      </c>
      <c r="N13" s="15" t="s">
        <v>84</v>
      </c>
      <c r="O13" s="15" t="s">
        <v>10</v>
      </c>
      <c r="P13" s="15" t="s">
        <v>24</v>
      </c>
      <c r="Q13" s="15" t="s">
        <v>84</v>
      </c>
      <c r="R13" s="15" t="s">
        <v>133</v>
      </c>
    </row>
    <row r="14" s="3" customFormat="1" ht="35" customHeight="1" spans="1:18">
      <c r="A14" s="14"/>
      <c r="B14" s="14"/>
      <c r="C14" s="15">
        <v>12</v>
      </c>
      <c r="D14" s="15" t="s">
        <v>134</v>
      </c>
      <c r="E14" s="15" t="s">
        <v>79</v>
      </c>
      <c r="F14" s="22">
        <v>30348</v>
      </c>
      <c r="G14" s="21">
        <v>35</v>
      </c>
      <c r="H14" s="15" t="s">
        <v>110</v>
      </c>
      <c r="I14" s="15" t="s">
        <v>81</v>
      </c>
      <c r="J14" s="15" t="s">
        <v>18</v>
      </c>
      <c r="K14" s="15" t="s">
        <v>99</v>
      </c>
      <c r="L14" s="15" t="s">
        <v>135</v>
      </c>
      <c r="M14" s="15" t="s">
        <v>136</v>
      </c>
      <c r="N14" s="15" t="s">
        <v>84</v>
      </c>
      <c r="O14" s="15" t="s">
        <v>10</v>
      </c>
      <c r="P14" s="15" t="s">
        <v>137</v>
      </c>
      <c r="Q14" s="15" t="s">
        <v>84</v>
      </c>
      <c r="R14" s="15" t="s">
        <v>138</v>
      </c>
    </row>
    <row r="15" s="3" customFormat="1" ht="35" customHeight="1" spans="1:18">
      <c r="A15" s="14"/>
      <c r="B15" s="14"/>
      <c r="C15" s="15">
        <v>13</v>
      </c>
      <c r="D15" s="15" t="s">
        <v>139</v>
      </c>
      <c r="E15" s="15" t="s">
        <v>79</v>
      </c>
      <c r="F15" s="20">
        <v>32021</v>
      </c>
      <c r="G15" s="21">
        <v>32</v>
      </c>
      <c r="H15" s="15" t="s">
        <v>110</v>
      </c>
      <c r="I15" s="15" t="s">
        <v>81</v>
      </c>
      <c r="J15" s="15" t="s">
        <v>18</v>
      </c>
      <c r="K15" s="15" t="s">
        <v>89</v>
      </c>
      <c r="L15" s="15" t="s">
        <v>140</v>
      </c>
      <c r="M15" s="15" t="s">
        <v>84</v>
      </c>
      <c r="N15" s="15" t="s">
        <v>85</v>
      </c>
      <c r="O15" s="15" t="s">
        <v>1</v>
      </c>
      <c r="P15" s="15" t="s">
        <v>1</v>
      </c>
      <c r="Q15" s="15" t="s">
        <v>84</v>
      </c>
      <c r="R15" s="15" t="s">
        <v>84</v>
      </c>
    </row>
    <row r="16" s="3" customFormat="1" ht="35" customHeight="1" spans="1:18">
      <c r="A16" s="14"/>
      <c r="B16" s="14"/>
      <c r="C16" s="15">
        <v>14</v>
      </c>
      <c r="D16" s="15" t="s">
        <v>141</v>
      </c>
      <c r="E16" s="15" t="s">
        <v>79</v>
      </c>
      <c r="F16" s="22">
        <v>32387</v>
      </c>
      <c r="G16" s="21">
        <v>30</v>
      </c>
      <c r="H16" s="15" t="s">
        <v>142</v>
      </c>
      <c r="I16" s="15" t="s">
        <v>81</v>
      </c>
      <c r="J16" s="15" t="s">
        <v>18</v>
      </c>
      <c r="K16" s="15" t="s">
        <v>99</v>
      </c>
      <c r="L16" s="15" t="s">
        <v>143</v>
      </c>
      <c r="M16" s="15" t="s">
        <v>84</v>
      </c>
      <c r="N16" s="15" t="s">
        <v>84</v>
      </c>
      <c r="O16" s="15" t="s">
        <v>6</v>
      </c>
      <c r="P16" s="15" t="s">
        <v>24</v>
      </c>
      <c r="Q16" s="15" t="s">
        <v>144</v>
      </c>
      <c r="R16" s="15" t="s">
        <v>84</v>
      </c>
    </row>
    <row r="17" s="3" customFormat="1" ht="35" customHeight="1" spans="1:18">
      <c r="A17" s="14"/>
      <c r="B17" s="14"/>
      <c r="C17" s="15">
        <v>15</v>
      </c>
      <c r="D17" s="16" t="s">
        <v>145</v>
      </c>
      <c r="E17" s="16" t="s">
        <v>79</v>
      </c>
      <c r="F17" s="17">
        <v>32112</v>
      </c>
      <c r="G17" s="30">
        <v>31</v>
      </c>
      <c r="H17" s="16" t="s">
        <v>146</v>
      </c>
      <c r="I17" s="16" t="s">
        <v>81</v>
      </c>
      <c r="J17" s="16" t="s">
        <v>18</v>
      </c>
      <c r="K17" s="16" t="s">
        <v>89</v>
      </c>
      <c r="L17" s="16" t="s">
        <v>147</v>
      </c>
      <c r="M17" s="16" t="s">
        <v>148</v>
      </c>
      <c r="N17" s="16" t="s">
        <v>84</v>
      </c>
      <c r="O17" s="16" t="s">
        <v>2</v>
      </c>
      <c r="P17" s="16" t="s">
        <v>22</v>
      </c>
      <c r="Q17" s="16" t="s">
        <v>84</v>
      </c>
      <c r="R17" s="16" t="s">
        <v>149</v>
      </c>
    </row>
    <row r="18" s="3" customFormat="1" ht="35" customHeight="1" spans="1:18">
      <c r="A18" s="14"/>
      <c r="B18" s="14"/>
      <c r="C18" s="15">
        <v>16</v>
      </c>
      <c r="D18" s="15" t="s">
        <v>150</v>
      </c>
      <c r="E18" s="15" t="s">
        <v>79</v>
      </c>
      <c r="F18" s="22">
        <v>28976</v>
      </c>
      <c r="G18" s="21">
        <v>39</v>
      </c>
      <c r="H18" s="15" t="s">
        <v>110</v>
      </c>
      <c r="I18" s="15" t="s">
        <v>81</v>
      </c>
      <c r="J18" s="15" t="s">
        <v>18</v>
      </c>
      <c r="K18" s="15" t="s">
        <v>89</v>
      </c>
      <c r="L18" s="15" t="s">
        <v>151</v>
      </c>
      <c r="M18" s="15" t="s">
        <v>152</v>
      </c>
      <c r="N18" s="15" t="s">
        <v>84</v>
      </c>
      <c r="O18" s="15" t="s">
        <v>11</v>
      </c>
      <c r="P18" s="15" t="s">
        <v>96</v>
      </c>
      <c r="Q18" s="15" t="s">
        <v>84</v>
      </c>
      <c r="R18" s="15" t="s">
        <v>153</v>
      </c>
    </row>
    <row r="19" s="3" customFormat="1" ht="35" customHeight="1" spans="1:18">
      <c r="A19" s="14"/>
      <c r="B19" s="14"/>
      <c r="C19" s="15">
        <v>17</v>
      </c>
      <c r="D19" s="15" t="s">
        <v>154</v>
      </c>
      <c r="E19" s="15" t="s">
        <v>79</v>
      </c>
      <c r="F19" s="20">
        <v>32994</v>
      </c>
      <c r="G19" s="21">
        <v>28</v>
      </c>
      <c r="H19" s="15" t="s">
        <v>155</v>
      </c>
      <c r="I19" s="15" t="s">
        <v>81</v>
      </c>
      <c r="J19" s="15" t="s">
        <v>18</v>
      </c>
      <c r="K19" s="15" t="s">
        <v>89</v>
      </c>
      <c r="L19" s="15" t="s">
        <v>156</v>
      </c>
      <c r="M19" s="15" t="s">
        <v>148</v>
      </c>
      <c r="N19" s="15" t="s">
        <v>84</v>
      </c>
      <c r="O19" s="15" t="s">
        <v>13</v>
      </c>
      <c r="P19" s="15" t="s">
        <v>22</v>
      </c>
      <c r="Q19" s="15" t="s">
        <v>84</v>
      </c>
      <c r="R19" s="15" t="s">
        <v>157</v>
      </c>
    </row>
    <row r="20" s="3" customFormat="1" ht="35" customHeight="1" spans="1:18">
      <c r="A20" s="14"/>
      <c r="B20" s="14"/>
      <c r="C20" s="15">
        <v>18</v>
      </c>
      <c r="D20" s="15" t="s">
        <v>158</v>
      </c>
      <c r="E20" s="15" t="s">
        <v>92</v>
      </c>
      <c r="F20" s="22">
        <v>32964</v>
      </c>
      <c r="G20" s="21">
        <v>29</v>
      </c>
      <c r="H20" s="15" t="s">
        <v>142</v>
      </c>
      <c r="I20" s="15" t="s">
        <v>81</v>
      </c>
      <c r="J20" s="15" t="s">
        <v>105</v>
      </c>
      <c r="K20" s="15" t="s">
        <v>99</v>
      </c>
      <c r="L20" s="15" t="s">
        <v>159</v>
      </c>
      <c r="M20" s="15" t="s">
        <v>84</v>
      </c>
      <c r="N20" s="15" t="s">
        <v>84</v>
      </c>
      <c r="O20" s="37" t="s">
        <v>13</v>
      </c>
      <c r="P20" s="15" t="s">
        <v>22</v>
      </c>
      <c r="Q20" s="15" t="s">
        <v>84</v>
      </c>
      <c r="R20" s="15" t="s">
        <v>160</v>
      </c>
    </row>
    <row r="21" s="3" customFormat="1" ht="35" customHeight="1" spans="1:18">
      <c r="A21" s="14"/>
      <c r="B21" s="14"/>
      <c r="C21" s="15">
        <v>19</v>
      </c>
      <c r="D21" s="15" t="s">
        <v>161</v>
      </c>
      <c r="E21" s="15" t="s">
        <v>92</v>
      </c>
      <c r="F21" s="22">
        <v>32295</v>
      </c>
      <c r="G21" s="21">
        <v>30</v>
      </c>
      <c r="H21" s="15" t="s">
        <v>146</v>
      </c>
      <c r="I21" s="15" t="s">
        <v>81</v>
      </c>
      <c r="J21" s="15" t="s">
        <v>105</v>
      </c>
      <c r="K21" s="15" t="s">
        <v>89</v>
      </c>
      <c r="L21" s="15" t="s">
        <v>162</v>
      </c>
      <c r="M21" s="15" t="s">
        <v>163</v>
      </c>
      <c r="N21" s="15" t="s">
        <v>84</v>
      </c>
      <c r="O21" s="15" t="s">
        <v>10</v>
      </c>
      <c r="P21" s="15" t="s">
        <v>24</v>
      </c>
      <c r="Q21" s="15" t="s">
        <v>164</v>
      </c>
      <c r="R21" s="15" t="s">
        <v>84</v>
      </c>
    </row>
    <row r="22" s="3" customFormat="1" ht="35" customHeight="1" spans="1:18">
      <c r="A22" s="14"/>
      <c r="B22" s="14"/>
      <c r="C22" s="15">
        <v>20</v>
      </c>
      <c r="D22" s="15" t="s">
        <v>165</v>
      </c>
      <c r="E22" s="15" t="s">
        <v>79</v>
      </c>
      <c r="F22" s="22">
        <v>29312</v>
      </c>
      <c r="G22" s="21">
        <v>38</v>
      </c>
      <c r="H22" s="15" t="s">
        <v>166</v>
      </c>
      <c r="I22" s="15" t="s">
        <v>81</v>
      </c>
      <c r="J22" s="15" t="s">
        <v>18</v>
      </c>
      <c r="K22" s="15" t="s">
        <v>89</v>
      </c>
      <c r="L22" s="15" t="s">
        <v>167</v>
      </c>
      <c r="M22" s="15" t="s">
        <v>168</v>
      </c>
      <c r="N22" s="15" t="s">
        <v>84</v>
      </c>
      <c r="O22" s="15" t="s">
        <v>9</v>
      </c>
      <c r="P22" s="15" t="s">
        <v>169</v>
      </c>
      <c r="Q22" s="15" t="s">
        <v>170</v>
      </c>
      <c r="R22" s="15" t="s">
        <v>171</v>
      </c>
    </row>
    <row r="23" s="3" customFormat="1" ht="35" customHeight="1" spans="1:18">
      <c r="A23" s="14"/>
      <c r="B23" s="14"/>
      <c r="C23" s="15">
        <v>21</v>
      </c>
      <c r="D23" s="15" t="s">
        <v>172</v>
      </c>
      <c r="E23" s="15" t="s">
        <v>92</v>
      </c>
      <c r="F23" s="22">
        <v>30072</v>
      </c>
      <c r="G23" s="21">
        <v>36</v>
      </c>
      <c r="H23" s="15" t="s">
        <v>173</v>
      </c>
      <c r="I23" s="15" t="s">
        <v>81</v>
      </c>
      <c r="J23" s="15" t="s">
        <v>18</v>
      </c>
      <c r="K23" s="15" t="s">
        <v>89</v>
      </c>
      <c r="L23" s="15" t="s">
        <v>167</v>
      </c>
      <c r="M23" s="15" t="s">
        <v>168</v>
      </c>
      <c r="N23" s="15" t="s">
        <v>84</v>
      </c>
      <c r="O23" s="15" t="s">
        <v>9</v>
      </c>
      <c r="P23" s="15" t="s">
        <v>117</v>
      </c>
      <c r="Q23" s="15" t="s">
        <v>174</v>
      </c>
      <c r="R23" s="15" t="s">
        <v>175</v>
      </c>
    </row>
    <row r="24" s="3" customFormat="1" ht="35" customHeight="1" spans="1:18">
      <c r="A24" s="14"/>
      <c r="B24" s="14"/>
      <c r="C24" s="15">
        <v>22</v>
      </c>
      <c r="D24" s="15" t="s">
        <v>176</v>
      </c>
      <c r="E24" s="15" t="s">
        <v>79</v>
      </c>
      <c r="F24" s="22">
        <v>30803</v>
      </c>
      <c r="G24" s="21">
        <v>34</v>
      </c>
      <c r="H24" s="15" t="s">
        <v>146</v>
      </c>
      <c r="I24" s="15" t="s">
        <v>81</v>
      </c>
      <c r="J24" s="15" t="s">
        <v>105</v>
      </c>
      <c r="K24" s="15" t="s">
        <v>99</v>
      </c>
      <c r="L24" s="15" t="s">
        <v>177</v>
      </c>
      <c r="M24" s="15" t="s">
        <v>84</v>
      </c>
      <c r="N24" s="15" t="s">
        <v>84</v>
      </c>
      <c r="O24" s="15" t="s">
        <v>9</v>
      </c>
      <c r="P24" s="15" t="s">
        <v>24</v>
      </c>
      <c r="Q24" s="15" t="s">
        <v>178</v>
      </c>
      <c r="R24" s="15" t="s">
        <v>84</v>
      </c>
    </row>
    <row r="25" s="3" customFormat="1" ht="35" customHeight="1" spans="1:18">
      <c r="A25" s="14"/>
      <c r="B25" s="14"/>
      <c r="C25" s="15">
        <v>23</v>
      </c>
      <c r="D25" s="15" t="s">
        <v>179</v>
      </c>
      <c r="E25" s="15" t="s">
        <v>79</v>
      </c>
      <c r="F25" s="22">
        <v>32599</v>
      </c>
      <c r="G25" s="21">
        <v>29</v>
      </c>
      <c r="H25" s="15" t="s">
        <v>180</v>
      </c>
      <c r="I25" s="15" t="s">
        <v>81</v>
      </c>
      <c r="J25" s="15" t="s">
        <v>18</v>
      </c>
      <c r="K25" s="15" t="s">
        <v>89</v>
      </c>
      <c r="L25" s="15" t="s">
        <v>181</v>
      </c>
      <c r="M25" s="15" t="s">
        <v>163</v>
      </c>
      <c r="N25" s="15" t="s">
        <v>84</v>
      </c>
      <c r="O25" s="15" t="s">
        <v>10</v>
      </c>
      <c r="P25" s="15" t="s">
        <v>137</v>
      </c>
      <c r="Q25" s="15" t="s">
        <v>182</v>
      </c>
      <c r="R25" s="15" t="s">
        <v>183</v>
      </c>
    </row>
    <row r="26" s="3" customFormat="1" ht="35" customHeight="1" spans="1:18">
      <c r="A26" s="14"/>
      <c r="B26" s="14"/>
      <c r="C26" s="15">
        <v>24</v>
      </c>
      <c r="D26" s="15" t="s">
        <v>184</v>
      </c>
      <c r="E26" s="15" t="s">
        <v>92</v>
      </c>
      <c r="F26" s="22">
        <v>32660</v>
      </c>
      <c r="G26" s="21">
        <v>29</v>
      </c>
      <c r="H26" s="15" t="s">
        <v>166</v>
      </c>
      <c r="I26" s="15" t="s">
        <v>81</v>
      </c>
      <c r="J26" s="15" t="s">
        <v>18</v>
      </c>
      <c r="K26" s="15" t="s">
        <v>82</v>
      </c>
      <c r="L26" s="15" t="s">
        <v>185</v>
      </c>
      <c r="M26" s="15" t="s">
        <v>186</v>
      </c>
      <c r="N26" s="15" t="s">
        <v>84</v>
      </c>
      <c r="O26" s="15" t="s">
        <v>10</v>
      </c>
      <c r="P26" s="15" t="s">
        <v>137</v>
      </c>
      <c r="Q26" s="15" t="s">
        <v>84</v>
      </c>
      <c r="R26" s="15" t="s">
        <v>187</v>
      </c>
    </row>
    <row r="27" s="3" customFormat="1" ht="35" customHeight="1" spans="1:18">
      <c r="A27" s="14"/>
      <c r="B27" s="14"/>
      <c r="C27" s="15">
        <v>25</v>
      </c>
      <c r="D27" s="15" t="s">
        <v>188</v>
      </c>
      <c r="E27" s="15" t="s">
        <v>92</v>
      </c>
      <c r="F27" s="22">
        <v>30225</v>
      </c>
      <c r="G27" s="21">
        <v>36</v>
      </c>
      <c r="H27" s="15" t="s">
        <v>189</v>
      </c>
      <c r="I27" s="15" t="s">
        <v>81</v>
      </c>
      <c r="J27" s="15" t="s">
        <v>105</v>
      </c>
      <c r="K27" s="15" t="s">
        <v>89</v>
      </c>
      <c r="L27" s="26" t="s">
        <v>190</v>
      </c>
      <c r="M27" s="15" t="s">
        <v>84</v>
      </c>
      <c r="N27" s="15" t="s">
        <v>84</v>
      </c>
      <c r="O27" s="15" t="s">
        <v>4</v>
      </c>
      <c r="P27" s="15" t="s">
        <v>24</v>
      </c>
      <c r="Q27" s="15" t="s">
        <v>84</v>
      </c>
      <c r="R27" s="15" t="s">
        <v>191</v>
      </c>
    </row>
    <row r="28" s="3" customFormat="1" ht="35" customHeight="1" spans="1:18">
      <c r="A28" s="14"/>
      <c r="B28" s="14"/>
      <c r="C28" s="15">
        <v>26</v>
      </c>
      <c r="D28" s="15" t="s">
        <v>192</v>
      </c>
      <c r="E28" s="15" t="s">
        <v>79</v>
      </c>
      <c r="F28" s="22">
        <v>33208</v>
      </c>
      <c r="G28" s="21">
        <v>28</v>
      </c>
      <c r="H28" s="15" t="s">
        <v>193</v>
      </c>
      <c r="I28" s="15" t="s">
        <v>81</v>
      </c>
      <c r="J28" s="15" t="s">
        <v>105</v>
      </c>
      <c r="K28" s="15" t="s">
        <v>82</v>
      </c>
      <c r="L28" s="38" t="s">
        <v>194</v>
      </c>
      <c r="M28" s="15" t="s">
        <v>84</v>
      </c>
      <c r="N28" s="15" t="s">
        <v>84</v>
      </c>
      <c r="O28" s="15" t="s">
        <v>4</v>
      </c>
      <c r="P28" s="15" t="s">
        <v>24</v>
      </c>
      <c r="Q28" s="15" t="s">
        <v>84</v>
      </c>
      <c r="R28" s="15" t="s">
        <v>195</v>
      </c>
    </row>
    <row r="29" s="3" customFormat="1" ht="35" customHeight="1" spans="1:18">
      <c r="A29" s="14"/>
      <c r="B29" s="14"/>
      <c r="C29" s="15">
        <v>27</v>
      </c>
      <c r="D29" s="26" t="s">
        <v>196</v>
      </c>
      <c r="E29" s="15" t="s">
        <v>79</v>
      </c>
      <c r="F29" s="22">
        <v>34182</v>
      </c>
      <c r="G29" s="21">
        <v>26</v>
      </c>
      <c r="H29" s="15" t="s">
        <v>146</v>
      </c>
      <c r="I29" s="15" t="s">
        <v>81</v>
      </c>
      <c r="J29" s="15" t="s">
        <v>18</v>
      </c>
      <c r="K29" s="15" t="s">
        <v>89</v>
      </c>
      <c r="L29" s="15" t="s">
        <v>197</v>
      </c>
      <c r="M29" s="15" t="s">
        <v>84</v>
      </c>
      <c r="N29" s="15" t="s">
        <v>84</v>
      </c>
      <c r="O29" s="15" t="s">
        <v>9</v>
      </c>
      <c r="P29" s="15" t="s">
        <v>24</v>
      </c>
      <c r="Q29" s="15" t="s">
        <v>198</v>
      </c>
      <c r="R29" s="15" t="s">
        <v>84</v>
      </c>
    </row>
    <row r="30" s="3" customFormat="1" ht="35" customHeight="1" spans="1:18">
      <c r="A30" s="14"/>
      <c r="B30" s="14"/>
      <c r="C30" s="15">
        <v>28</v>
      </c>
      <c r="D30" s="15" t="s">
        <v>199</v>
      </c>
      <c r="E30" s="15" t="s">
        <v>79</v>
      </c>
      <c r="F30" s="22">
        <v>29768</v>
      </c>
      <c r="G30" s="21">
        <v>38</v>
      </c>
      <c r="H30" s="15" t="s">
        <v>80</v>
      </c>
      <c r="I30" s="15" t="s">
        <v>81</v>
      </c>
      <c r="J30" s="15" t="s">
        <v>105</v>
      </c>
      <c r="K30" s="15" t="s">
        <v>200</v>
      </c>
      <c r="L30" s="15" t="s">
        <v>201</v>
      </c>
      <c r="M30" s="15" t="s">
        <v>84</v>
      </c>
      <c r="N30" s="15" t="s">
        <v>84</v>
      </c>
      <c r="O30" s="15" t="s">
        <v>2</v>
      </c>
      <c r="P30" s="15" t="s">
        <v>24</v>
      </c>
      <c r="Q30" s="15" t="s">
        <v>202</v>
      </c>
      <c r="R30" s="15" t="s">
        <v>84</v>
      </c>
    </row>
    <row r="31" s="3" customFormat="1" ht="35" customHeight="1" spans="1:18">
      <c r="A31" s="14"/>
      <c r="B31" s="14"/>
      <c r="C31" s="15">
        <v>29</v>
      </c>
      <c r="D31" s="15" t="s">
        <v>203</v>
      </c>
      <c r="E31" s="15" t="s">
        <v>92</v>
      </c>
      <c r="F31" s="22">
        <v>30529</v>
      </c>
      <c r="G31" s="21">
        <v>36</v>
      </c>
      <c r="H31" s="15" t="s">
        <v>110</v>
      </c>
      <c r="I31" s="15" t="s">
        <v>81</v>
      </c>
      <c r="J31" s="15" t="s">
        <v>18</v>
      </c>
      <c r="K31" s="15" t="s">
        <v>89</v>
      </c>
      <c r="L31" s="15" t="s">
        <v>204</v>
      </c>
      <c r="M31" s="15" t="s">
        <v>205</v>
      </c>
      <c r="N31" s="15" t="s">
        <v>84</v>
      </c>
      <c r="O31" s="15" t="s">
        <v>7</v>
      </c>
      <c r="P31" s="15" t="s">
        <v>206</v>
      </c>
      <c r="Q31" s="15" t="s">
        <v>84</v>
      </c>
      <c r="R31" s="15" t="s">
        <v>207</v>
      </c>
    </row>
    <row r="32" s="3" customFormat="1" ht="35" customHeight="1" spans="1:18">
      <c r="A32" s="14"/>
      <c r="B32" s="14"/>
      <c r="C32" s="15">
        <v>30</v>
      </c>
      <c r="D32" s="15" t="s">
        <v>208</v>
      </c>
      <c r="E32" s="15" t="s">
        <v>79</v>
      </c>
      <c r="F32" s="22">
        <v>32295</v>
      </c>
      <c r="G32" s="21">
        <v>31</v>
      </c>
      <c r="H32" s="15" t="s">
        <v>115</v>
      </c>
      <c r="I32" s="15" t="s">
        <v>81</v>
      </c>
      <c r="J32" s="15" t="s">
        <v>18</v>
      </c>
      <c r="K32" s="15" t="s">
        <v>82</v>
      </c>
      <c r="L32" s="15" t="s">
        <v>209</v>
      </c>
      <c r="M32" s="15" t="s">
        <v>84</v>
      </c>
      <c r="N32" s="15" t="s">
        <v>84</v>
      </c>
      <c r="O32" s="15" t="s">
        <v>1</v>
      </c>
      <c r="P32" s="15" t="s">
        <v>1</v>
      </c>
      <c r="Q32" s="15" t="s">
        <v>84</v>
      </c>
      <c r="R32" s="15" t="s">
        <v>210</v>
      </c>
    </row>
    <row r="33" s="3" customFormat="1" ht="35" customHeight="1" spans="1:18">
      <c r="A33" s="14"/>
      <c r="B33" s="14"/>
      <c r="C33" s="15">
        <v>31</v>
      </c>
      <c r="D33" s="23" t="s">
        <v>211</v>
      </c>
      <c r="E33" s="23" t="s">
        <v>79</v>
      </c>
      <c r="F33" s="24">
        <v>33208</v>
      </c>
      <c r="G33" s="25">
        <v>29</v>
      </c>
      <c r="H33" s="23" t="s">
        <v>88</v>
      </c>
      <c r="I33" s="23" t="s">
        <v>81</v>
      </c>
      <c r="J33" s="23" t="s">
        <v>18</v>
      </c>
      <c r="K33" s="23" t="s">
        <v>131</v>
      </c>
      <c r="L33" s="23" t="s">
        <v>212</v>
      </c>
      <c r="M33" s="23" t="s">
        <v>84</v>
      </c>
      <c r="N33" s="23" t="s">
        <v>84</v>
      </c>
      <c r="O33" s="23" t="s">
        <v>4</v>
      </c>
      <c r="P33" s="23" t="s">
        <v>22</v>
      </c>
      <c r="Q33" s="15" t="s">
        <v>84</v>
      </c>
      <c r="R33" s="23" t="s">
        <v>213</v>
      </c>
    </row>
    <row r="34" s="3" customFormat="1" ht="35" customHeight="1" spans="1:18">
      <c r="A34" s="14"/>
      <c r="B34" s="14"/>
      <c r="C34" s="15">
        <v>32</v>
      </c>
      <c r="D34" s="15" t="s">
        <v>214</v>
      </c>
      <c r="E34" s="15" t="s">
        <v>79</v>
      </c>
      <c r="F34" s="22">
        <v>29830</v>
      </c>
      <c r="G34" s="21">
        <v>37</v>
      </c>
      <c r="H34" s="15" t="s">
        <v>215</v>
      </c>
      <c r="I34" s="15" t="s">
        <v>81</v>
      </c>
      <c r="J34" s="15" t="s">
        <v>18</v>
      </c>
      <c r="K34" s="15" t="s">
        <v>99</v>
      </c>
      <c r="L34" s="15" t="s">
        <v>216</v>
      </c>
      <c r="M34" s="15" t="s">
        <v>84</v>
      </c>
      <c r="N34" s="15" t="s">
        <v>84</v>
      </c>
      <c r="O34" s="15" t="s">
        <v>6</v>
      </c>
      <c r="P34" s="15" t="s">
        <v>24</v>
      </c>
      <c r="Q34" s="15" t="s">
        <v>217</v>
      </c>
      <c r="R34" s="15" t="s">
        <v>84</v>
      </c>
    </row>
    <row r="35" s="3" customFormat="1" ht="35" customHeight="1" spans="1:18">
      <c r="A35" s="14"/>
      <c r="B35" s="14"/>
      <c r="C35" s="15">
        <v>33</v>
      </c>
      <c r="D35" s="15" t="s">
        <v>218</v>
      </c>
      <c r="E35" s="15" t="s">
        <v>79</v>
      </c>
      <c r="F35" s="22">
        <v>30376</v>
      </c>
      <c r="G35" s="21">
        <v>36</v>
      </c>
      <c r="H35" s="15" t="s">
        <v>219</v>
      </c>
      <c r="I35" s="15" t="s">
        <v>81</v>
      </c>
      <c r="J35" s="15" t="s">
        <v>220</v>
      </c>
      <c r="K35" s="15" t="s">
        <v>131</v>
      </c>
      <c r="L35" s="15" t="s">
        <v>221</v>
      </c>
      <c r="M35" s="15" t="s">
        <v>84</v>
      </c>
      <c r="N35" s="15" t="s">
        <v>84</v>
      </c>
      <c r="O35" s="15" t="s">
        <v>6</v>
      </c>
      <c r="P35" s="15" t="s">
        <v>24</v>
      </c>
      <c r="Q35" s="15" t="s">
        <v>217</v>
      </c>
      <c r="R35" s="15" t="s">
        <v>84</v>
      </c>
    </row>
    <row r="36" s="3" customFormat="1" ht="35" customHeight="1" spans="1:18">
      <c r="A36" s="14"/>
      <c r="B36" s="14"/>
      <c r="C36" s="15">
        <v>34</v>
      </c>
      <c r="D36" s="15" t="s">
        <v>222</v>
      </c>
      <c r="E36" s="15" t="s">
        <v>79</v>
      </c>
      <c r="F36" s="22">
        <v>29587</v>
      </c>
      <c r="G36" s="21">
        <v>38</v>
      </c>
      <c r="H36" s="15" t="s">
        <v>104</v>
      </c>
      <c r="I36" s="15" t="s">
        <v>223</v>
      </c>
      <c r="J36" s="15" t="s">
        <v>18</v>
      </c>
      <c r="K36" s="15" t="s">
        <v>89</v>
      </c>
      <c r="L36" s="15" t="s">
        <v>224</v>
      </c>
      <c r="M36" s="15" t="s">
        <v>84</v>
      </c>
      <c r="N36" s="15" t="s">
        <v>225</v>
      </c>
      <c r="O36" s="15" t="s">
        <v>2</v>
      </c>
      <c r="P36" s="15" t="s">
        <v>1</v>
      </c>
      <c r="Q36" s="15" t="s">
        <v>84</v>
      </c>
      <c r="R36" s="23" t="s">
        <v>84</v>
      </c>
    </row>
    <row r="37" s="3" customFormat="1" ht="35" customHeight="1" spans="1:18">
      <c r="A37" s="14"/>
      <c r="B37" s="14"/>
      <c r="C37" s="15">
        <v>35</v>
      </c>
      <c r="D37" s="15" t="s">
        <v>226</v>
      </c>
      <c r="E37" s="15" t="s">
        <v>79</v>
      </c>
      <c r="F37" s="22">
        <v>32933</v>
      </c>
      <c r="G37" s="21">
        <v>29</v>
      </c>
      <c r="H37" s="15" t="s">
        <v>227</v>
      </c>
      <c r="I37" s="15" t="s">
        <v>81</v>
      </c>
      <c r="J37" s="15" t="s">
        <v>18</v>
      </c>
      <c r="K37" s="15" t="s">
        <v>82</v>
      </c>
      <c r="L37" s="15" t="s">
        <v>228</v>
      </c>
      <c r="M37" s="15" t="s">
        <v>84</v>
      </c>
      <c r="N37" s="15" t="s">
        <v>85</v>
      </c>
      <c r="O37" s="15" t="s">
        <v>2</v>
      </c>
      <c r="P37" s="15" t="s">
        <v>23</v>
      </c>
      <c r="Q37" s="15" t="s">
        <v>84</v>
      </c>
      <c r="R37" s="23" t="s">
        <v>84</v>
      </c>
    </row>
    <row r="38" s="3" customFormat="1" ht="35" customHeight="1" spans="1:18">
      <c r="A38" s="14"/>
      <c r="B38" s="14"/>
      <c r="C38" s="15">
        <v>36</v>
      </c>
      <c r="D38" s="15" t="s">
        <v>229</v>
      </c>
      <c r="E38" s="15" t="s">
        <v>92</v>
      </c>
      <c r="F38" s="20">
        <v>29068</v>
      </c>
      <c r="G38" s="21">
        <v>39</v>
      </c>
      <c r="H38" s="15" t="s">
        <v>88</v>
      </c>
      <c r="I38" s="15" t="s">
        <v>81</v>
      </c>
      <c r="J38" s="15" t="s">
        <v>105</v>
      </c>
      <c r="K38" s="15" t="s">
        <v>89</v>
      </c>
      <c r="L38" s="15" t="s">
        <v>230</v>
      </c>
      <c r="M38" s="15" t="s">
        <v>84</v>
      </c>
      <c r="N38" s="15" t="s">
        <v>84</v>
      </c>
      <c r="O38" s="15" t="s">
        <v>4</v>
      </c>
      <c r="P38" s="15" t="s">
        <v>24</v>
      </c>
      <c r="Q38" s="23" t="s">
        <v>84</v>
      </c>
      <c r="R38" s="15" t="s">
        <v>231</v>
      </c>
    </row>
    <row r="39" s="3" customFormat="1" ht="35" customHeight="1" spans="1:18">
      <c r="A39" s="14"/>
      <c r="B39" s="14"/>
      <c r="C39" s="15">
        <v>37</v>
      </c>
      <c r="D39" s="15" t="s">
        <v>232</v>
      </c>
      <c r="E39" s="15" t="s">
        <v>79</v>
      </c>
      <c r="F39" s="22">
        <v>30987</v>
      </c>
      <c r="G39" s="21">
        <v>34</v>
      </c>
      <c r="H39" s="16" t="s">
        <v>146</v>
      </c>
      <c r="I39" s="15" t="s">
        <v>81</v>
      </c>
      <c r="J39" s="15" t="s">
        <v>105</v>
      </c>
      <c r="K39" s="15" t="s">
        <v>89</v>
      </c>
      <c r="L39" s="15" t="s">
        <v>233</v>
      </c>
      <c r="M39" s="15" t="s">
        <v>152</v>
      </c>
      <c r="N39" s="15" t="s">
        <v>84</v>
      </c>
      <c r="O39" s="15" t="s">
        <v>11</v>
      </c>
      <c r="P39" s="15" t="s">
        <v>96</v>
      </c>
      <c r="Q39" s="15" t="s">
        <v>84</v>
      </c>
      <c r="R39" s="15" t="s">
        <v>234</v>
      </c>
    </row>
    <row r="40" s="3" customFormat="1" ht="35" customHeight="1" spans="1:18">
      <c r="A40" s="14"/>
      <c r="B40" s="14"/>
      <c r="C40" s="15">
        <v>38</v>
      </c>
      <c r="D40" s="15" t="s">
        <v>235</v>
      </c>
      <c r="E40" s="15" t="s">
        <v>79</v>
      </c>
      <c r="F40" s="22">
        <v>29891</v>
      </c>
      <c r="G40" s="21">
        <v>37</v>
      </c>
      <c r="H40" s="16" t="s">
        <v>236</v>
      </c>
      <c r="I40" s="15" t="s">
        <v>81</v>
      </c>
      <c r="J40" s="15" t="s">
        <v>105</v>
      </c>
      <c r="K40" s="15" t="s">
        <v>99</v>
      </c>
      <c r="L40" s="15" t="s">
        <v>237</v>
      </c>
      <c r="M40" s="15" t="s">
        <v>238</v>
      </c>
      <c r="N40" s="15" t="s">
        <v>84</v>
      </c>
      <c r="O40" s="15" t="s">
        <v>6</v>
      </c>
      <c r="P40" s="15" t="s">
        <v>24</v>
      </c>
      <c r="Q40" s="15" t="s">
        <v>239</v>
      </c>
      <c r="R40" s="15" t="s">
        <v>84</v>
      </c>
    </row>
    <row r="41" s="3" customFormat="1" ht="35" customHeight="1" spans="1:18">
      <c r="A41" s="14"/>
      <c r="B41" s="14"/>
      <c r="C41" s="15">
        <v>39</v>
      </c>
      <c r="D41" s="15" t="s">
        <v>240</v>
      </c>
      <c r="E41" s="15" t="s">
        <v>92</v>
      </c>
      <c r="F41" s="22">
        <v>30956</v>
      </c>
      <c r="G41" s="21">
        <v>34</v>
      </c>
      <c r="H41" s="15" t="s">
        <v>88</v>
      </c>
      <c r="I41" s="15" t="s">
        <v>81</v>
      </c>
      <c r="J41" s="15" t="s">
        <v>241</v>
      </c>
      <c r="K41" s="15" t="s">
        <v>89</v>
      </c>
      <c r="L41" s="15" t="s">
        <v>242</v>
      </c>
      <c r="M41" s="15" t="s">
        <v>168</v>
      </c>
      <c r="N41" s="15" t="s">
        <v>84</v>
      </c>
      <c r="O41" s="15" t="s">
        <v>3</v>
      </c>
      <c r="P41" s="15" t="s">
        <v>117</v>
      </c>
      <c r="Q41" s="15" t="s">
        <v>84</v>
      </c>
      <c r="R41" s="23" t="s">
        <v>243</v>
      </c>
    </row>
    <row r="42" s="3" customFormat="1" ht="35" customHeight="1" spans="1:18">
      <c r="A42" s="14"/>
      <c r="B42" s="14"/>
      <c r="C42" s="15">
        <v>40</v>
      </c>
      <c r="D42" s="15" t="s">
        <v>244</v>
      </c>
      <c r="E42" s="15" t="s">
        <v>79</v>
      </c>
      <c r="F42" s="20">
        <v>32174</v>
      </c>
      <c r="G42" s="21">
        <v>31</v>
      </c>
      <c r="H42" s="15" t="s">
        <v>215</v>
      </c>
      <c r="I42" s="15" t="s">
        <v>81</v>
      </c>
      <c r="J42" s="15" t="s">
        <v>245</v>
      </c>
      <c r="K42" s="15" t="s">
        <v>82</v>
      </c>
      <c r="L42" s="15" t="s">
        <v>246</v>
      </c>
      <c r="M42" s="15" t="s">
        <v>247</v>
      </c>
      <c r="N42" s="15" t="s">
        <v>84</v>
      </c>
      <c r="O42" s="15" t="s">
        <v>248</v>
      </c>
      <c r="P42" s="15" t="s">
        <v>249</v>
      </c>
      <c r="Q42" s="23" t="s">
        <v>84</v>
      </c>
      <c r="R42" s="15" t="s">
        <v>84</v>
      </c>
    </row>
    <row r="43" s="3" customFormat="1" ht="35" customHeight="1" spans="1:18">
      <c r="A43" s="14"/>
      <c r="B43" s="14"/>
      <c r="C43" s="15">
        <v>41</v>
      </c>
      <c r="D43" s="15" t="s">
        <v>250</v>
      </c>
      <c r="E43" s="15" t="s">
        <v>92</v>
      </c>
      <c r="F43" s="22">
        <v>32021</v>
      </c>
      <c r="G43" s="21">
        <v>32</v>
      </c>
      <c r="H43" s="15" t="s">
        <v>215</v>
      </c>
      <c r="I43" s="15" t="s">
        <v>81</v>
      </c>
      <c r="J43" s="15" t="s">
        <v>241</v>
      </c>
      <c r="K43" s="15" t="s">
        <v>89</v>
      </c>
      <c r="L43" s="15" t="s">
        <v>251</v>
      </c>
      <c r="M43" s="15" t="s">
        <v>152</v>
      </c>
      <c r="N43" s="15" t="s">
        <v>84</v>
      </c>
      <c r="O43" s="15" t="s">
        <v>11</v>
      </c>
      <c r="P43" s="15" t="s">
        <v>96</v>
      </c>
      <c r="Q43" s="15" t="s">
        <v>84</v>
      </c>
      <c r="R43" s="15" t="s">
        <v>252</v>
      </c>
    </row>
    <row r="44" s="4" customFormat="1" ht="35" customHeight="1" spans="1:18">
      <c r="A44" s="31"/>
      <c r="B44" s="32"/>
      <c r="C44" s="15">
        <v>42</v>
      </c>
      <c r="D44" s="15" t="s">
        <v>253</v>
      </c>
      <c r="E44" s="15" t="s">
        <v>92</v>
      </c>
      <c r="F44" s="22">
        <v>31837</v>
      </c>
      <c r="G44" s="21">
        <v>30</v>
      </c>
      <c r="H44" s="15" t="s">
        <v>215</v>
      </c>
      <c r="I44" s="15" t="s">
        <v>81</v>
      </c>
      <c r="J44" s="15" t="s">
        <v>254</v>
      </c>
      <c r="K44" s="15" t="s">
        <v>89</v>
      </c>
      <c r="L44" s="15" t="s">
        <v>255</v>
      </c>
      <c r="M44" s="15" t="s">
        <v>168</v>
      </c>
      <c r="N44" s="15" t="s">
        <v>84</v>
      </c>
      <c r="O44" s="15" t="s">
        <v>3</v>
      </c>
      <c r="P44" s="15" t="s">
        <v>117</v>
      </c>
      <c r="Q44" s="15" t="s">
        <v>84</v>
      </c>
      <c r="R44" s="15" t="s">
        <v>256</v>
      </c>
    </row>
    <row r="45" spans="1:18">
      <c r="A45" s="33"/>
      <c r="B45" s="33"/>
      <c r="C45" s="33"/>
      <c r="D45" s="33"/>
      <c r="E45" s="33"/>
      <c r="F45" s="34"/>
      <c r="G45" s="35">
        <f>AVERAGE(G3:G37)</f>
        <v>31.7428571428571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>
      <c r="A46" s="33"/>
      <c r="B46" s="33"/>
      <c r="C46" s="33"/>
      <c r="D46" s="33"/>
      <c r="E46" s="33"/>
      <c r="F46" s="34"/>
      <c r="G46" s="35">
        <f>AVERAGE(G3:G37)</f>
        <v>31.7428571428571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>
      <c r="A47" s="33"/>
      <c r="B47" s="33"/>
      <c r="C47" s="33"/>
      <c r="D47" s="33"/>
      <c r="E47" s="33"/>
      <c r="F47" s="34"/>
      <c r="G47" s="35">
        <f>AVERAGE(G3:G31)</f>
        <v>31.4137931034483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>
      <c r="A48" s="33"/>
      <c r="B48" s="33"/>
      <c r="C48" s="33"/>
      <c r="D48" s="33"/>
      <c r="E48" s="33"/>
      <c r="F48" s="34"/>
      <c r="G48" s="35">
        <f>AVERAGE(G3:G31)</f>
        <v>31.4137931034483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</sheetData>
  <autoFilter ref="A1:R48">
    <extLst/>
  </autoFilter>
  <mergeCells count="1">
    <mergeCell ref="A1:R1"/>
  </mergeCells>
  <conditionalFormatting sqref="G3">
    <cfRule type="cellIs" dxfId="1" priority="1" operator="greaterThanOrEqual">
      <formula>40</formula>
    </cfRule>
  </conditionalFormatting>
  <dataValidations count="8">
    <dataValidation type="list" allowBlank="1" showInputMessage="1" showErrorMessage="1" sqref="O1 O2 O3 O9 O16 O17 O18 O20 O21 O22 O30 O33 O39 O40 O41 O43 O44 O5:O6 O11:O12 O13:O14 O23:O26 O27:O29 O31:O32 O34:O35 O36:O37 O45:O54 O55:O61 O62:O1048576">
      <formula1>"指定席位,科学技术,教育,农业,社会科学,经济,金融商务,法律,文化艺术体育,新闻出版和传媒,医药卫生,社会组织和宗教,技能人才"</formula1>
    </dataValidation>
    <dataValidation type="list" allowBlank="1" showInputMessage="1" showErrorMessage="1" sqref="I1 I9 I16 I17 I18 I20 I21 I22 I30 I33 I34 I35 I39 I40 I41 I43 I44 I5:I6 I11:I12 I13:I14 I24:I26 I27:I29 I31:I32 I36:I37">
      <formula1>"汉,壮,满,回,苗,维吾尔,土家,彝,蒙古,藏,布依,侗,瑶,朝鲜,白,哈尼,哈萨克,黎,傣,畲,傈僳,仡佬,东乡,高山,拉祜,水,佤,纳西,羌,土,仫佬,锡伯,柯尔克孜,达斡尔,景颇,毛南,撒拉,布朗,塔吉克,阿昌,普米,鄂温克,怒,京,基诺,德昂,保安,俄罗斯,裕固,乌兹别克,门巴,鄂伦春,独龙,塔塔尔,赫哲,珞巴"</formula1>
    </dataValidation>
    <dataValidation type="list" allowBlank="1" showInputMessage="1" showErrorMessage="1" sqref="P1 P2 P3 P8 P9 P16 P17 P18 P20 P21 P22 P30 P33 P34 P35 P39 P40 P41 P43 P44 P5:P6 P11:P12 P13:P14 P23:P26 P27:P29 P31:P32 P36:P37 P45:P54 P55:P61 P62:P1048576">
      <formula1>"指定席位,党政干部,企业负责人,演艺人员,社会组织人员,一线劳动者,专技（文化艺术）,专技（教育）,专技（卫生）,专技（科技）,专技（体育）,专技（法律）,专技（新闻出版）,专技（其他）,专技（军人）,专技（学生）,专技（企业中层管理人员）,宗教教职人员,其他"</formula1>
    </dataValidation>
    <dataValidation type="list" allowBlank="1" showInputMessage="1" showErrorMessage="1" sqref="J1 J9 J16 J17 J18 J20 J21 J22 J30 J33 J34 J35 J39 J40 J41 J43 J44 J5:J6 J11:J12 J13:J14 J24:J26 J27:J29 J31:J32 J36:J37">
      <formula1>"中共党员,中共预备党员,共青团员,民革成员,民盟成员,民建成员,民进成员,农工党成员,致公党成员,九三学社成员,台盟成员,无党派人士,群众"</formula1>
    </dataValidation>
    <dataValidation type="list" allowBlank="1" showInputMessage="1" showErrorMessage="1" sqref="K1 K9 K16 K17 K18 K20 K21 K22 K30 K33 K34 K35 K39 K40 K41 K43 K44 K5:K6 K11:K12 K13:K14 K24:K26 K27:K29 K31:K32 K36:K37">
      <formula1>"小学,初中,高中,中职,中专,高职,高专,大专,大学本科,研究生,无"</formula1>
    </dataValidation>
    <dataValidation type="list" allowBlank="1" showInputMessage="1" showErrorMessage="1" sqref="N1 N5 N9 N16 N17 N18 N22 N30 N33 N34 N35 N39 N40 N41 N43 N44 N11:N12 N13:N14 N24:N26 N27:N29 N31:N32 N36:N37">
      <formula1>"职级,副科级,正科级,副处级,正处级,无"</formula1>
    </dataValidation>
    <dataValidation type="list" allowBlank="1" showInputMessage="1" showErrorMessage="1" sqref="E2 E6 E17 E18 E20 E21 E22 E26 E30 E33 E34 E35 E39 E40 E41 E43 E44 E27:E29 E31:E32 E36:E37">
      <formula1>"男,女"</formula1>
    </dataValidation>
    <dataValidation type="list" allowBlank="1" showInputMessage="1" showErrorMessage="1" sqref="N6 N20 N21">
      <formula1>"科员,副科级,正科级,副处级,正处级,副厅级,正厅级,无"</formula1>
    </dataValidation>
  </dataValidations>
  <pageMargins left="0.393055555555556" right="0.354166666666667" top="0.354166666666667" bottom="0.235416666666667" header="0.275" footer="0.0777777777777778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构成表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2017-11-06T03:46:00Z</dcterms:created>
  <cp:lastPrinted>2017-11-14T03:02:00Z</cp:lastPrinted>
  <dcterms:modified xsi:type="dcterms:W3CDTF">2019-08-13T04:48:57Z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